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 defaultThemeVersion="124226"/>
  <bookViews>
    <workbookView xWindow="-120" yWindow="-120" windowWidth="20736" windowHeight="11760" tabRatio="693" firstSheet="8" activeTab="8"/>
  </bookViews>
  <sheets>
    <sheet name="Все (3)" sheetId="63" state="hidden" r:id="rId1"/>
    <sheet name="Все (2)" sheetId="62" state="hidden" r:id="rId2"/>
    <sheet name="READ" sheetId="23" state="hidden" r:id="rId3"/>
    <sheet name="Расп" sheetId="3" state="hidden" r:id="rId4"/>
    <sheet name="Уч" sheetId="1" state="hidden" r:id="rId5"/>
    <sheet name="М+23" sheetId="82" state="hidden" r:id="rId6"/>
    <sheet name="М" sheetId="105" state="hidden" r:id="rId7"/>
    <sheet name="23" sheetId="106" state="hidden" r:id="rId8"/>
    <sheet name="100 м 1" sheetId="47" r:id="rId9"/>
    <sheet name="100 м 2" sheetId="118" r:id="rId10"/>
    <sheet name="Лист4" sheetId="111" state="hidden" r:id="rId11"/>
    <sheet name="длина 2 " sheetId="54" r:id="rId12"/>
    <sheet name="длина 1" sheetId="115" r:id="rId13"/>
    <sheet name="Лист1" sheetId="108" state="hidden" r:id="rId14"/>
    <sheet name="ядро 2" sheetId="44" r:id="rId15"/>
    <sheet name="ядро 1" sheetId="116" r:id="rId16"/>
    <sheet name="Лист2" sheetId="109" state="hidden" r:id="rId17"/>
    <sheet name="высота 2" sheetId="45" r:id="rId18"/>
    <sheet name="высота 1" sheetId="117" r:id="rId19"/>
    <sheet name="Лист3" sheetId="110" state="hidden" r:id="rId20"/>
    <sheet name="4_р" sheetId="46" state="hidden" r:id="rId21"/>
    <sheet name="1cб_р" sheetId="53" state="hidden" r:id="rId22"/>
    <sheet name="Дс_р" sheetId="55" state="hidden" r:id="rId23"/>
    <sheet name="Ш_р" sheetId="56" state="hidden" r:id="rId24"/>
    <sheet name="К_р" sheetId="50" state="hidden" r:id="rId25"/>
    <sheet name="15_р" sheetId="51" state="hidden" r:id="rId26"/>
    <sheet name="Коман" sheetId="107" state="hidden" r:id="rId27"/>
    <sheet name="му" sheetId="112" state="hidden" r:id="rId28"/>
    <sheet name="юн" sheetId="113" state="hidden" r:id="rId29"/>
    <sheet name="Лист7" sheetId="114" state="hidden" r:id="rId30"/>
  </sheets>
  <definedNames>
    <definedName name="_xlnm._FilterDatabase" localSheetId="26" hidden="1">Коман!$A$1:$L$33</definedName>
    <definedName name="_xlnm._FilterDatabase" localSheetId="4" hidden="1">Уч!$A$1:$L$34</definedName>
    <definedName name="_xlnm.Print_Titles" localSheetId="7">'23'!$13:$14</definedName>
    <definedName name="_xlnm.Print_Titles" localSheetId="1">'Все (2)'!$13:$13</definedName>
    <definedName name="_xlnm.Print_Titles" localSheetId="0">'Все (3)'!$13:$13</definedName>
    <definedName name="_xlnm.Print_Titles" localSheetId="6">М!$13:$14</definedName>
    <definedName name="_xlnm.Print_Titles" localSheetId="5">'М+23'!$13:$14</definedName>
    <definedName name="_xlnm.Print_Area" localSheetId="8">'100 м 1'!$B$1:$I$40</definedName>
    <definedName name="_xlnm.Print_Area" localSheetId="9">'100 м 2'!$A$1:$I$48</definedName>
    <definedName name="_xlnm.Print_Area" localSheetId="25">'15_р'!$B$1:$H$39</definedName>
    <definedName name="_xlnm.Print_Area" localSheetId="21">'1cб_р'!$B$1:$H$58</definedName>
    <definedName name="_xlnm.Print_Area" localSheetId="7">'23'!$A$1:$R$85</definedName>
    <definedName name="_xlnm.Print_Area" localSheetId="20">'4_р'!$A$1:$H$58</definedName>
    <definedName name="_xlnm.Print_Area" localSheetId="1">'Все (2)'!$A$1:$R$159</definedName>
    <definedName name="_xlnm.Print_Area" localSheetId="0">'Все (3)'!$A$1:$R$164</definedName>
    <definedName name="_xlnm.Print_Area" localSheetId="18">'высота 1'!$B$1:$AE$35</definedName>
    <definedName name="_xlnm.Print_Area" localSheetId="17">'высота 2'!$B$1:$AE$42</definedName>
    <definedName name="_xlnm.Print_Area" localSheetId="12">'длина 1'!$B$1:$N$41</definedName>
    <definedName name="_xlnm.Print_Area" localSheetId="11">'длина 2 '!$B$1:$N$36</definedName>
    <definedName name="_xlnm.Print_Area" localSheetId="22">Дс_р!$B$1:$J$42</definedName>
    <definedName name="_xlnm.Print_Area" localSheetId="24">К_р!$B$1:$J$42</definedName>
    <definedName name="_xlnm.Print_Area" localSheetId="13">Лист1!$B$1:$N$31</definedName>
    <definedName name="_xlnm.Print_Area" localSheetId="16">Лист2!$B$1:$K$31</definedName>
    <definedName name="_xlnm.Print_Area" localSheetId="19">Лист3!$B$1:$AE$31</definedName>
    <definedName name="_xlnm.Print_Area" localSheetId="10">Лист4!$A$1:$I$60</definedName>
    <definedName name="_xlnm.Print_Area" localSheetId="29">Лист7!$A$1:$R$140</definedName>
    <definedName name="_xlnm.Print_Area" localSheetId="6">М!$A$1:$R$80</definedName>
    <definedName name="_xlnm.Print_Area" localSheetId="5">'М+23'!$A$1:$R$150</definedName>
    <definedName name="_xlnm.Print_Area" localSheetId="27">му!$A$1:$R$140</definedName>
    <definedName name="_xlnm.Print_Area" localSheetId="23">Ш_р!$B$1:$AE$42</definedName>
    <definedName name="_xlnm.Print_Area" localSheetId="28">юн!$A$1:$R$79</definedName>
    <definedName name="_xlnm.Print_Area" localSheetId="15">'ядро 1'!$B$1:$K$35</definedName>
    <definedName name="_xlnm.Print_Area" localSheetId="14">'ядро 2'!$B$1:$K$36</definedName>
  </definedNames>
  <calcPr calcId="144525"/>
</workbook>
</file>

<file path=xl/calcChain.xml><?xml version="1.0" encoding="utf-8"?>
<calcChain xmlns="http://schemas.openxmlformats.org/spreadsheetml/2006/main">
  <c r="A90" i="118" l="1"/>
  <c r="A89" i="118"/>
  <c r="A88" i="118"/>
  <c r="A87" i="118"/>
  <c r="A86" i="118"/>
  <c r="A85" i="118"/>
  <c r="A84" i="118"/>
  <c r="A83" i="118"/>
  <c r="A82" i="118"/>
  <c r="A81" i="118"/>
  <c r="A80" i="118"/>
  <c r="A79" i="118"/>
  <c r="A78" i="118"/>
  <c r="A77" i="118"/>
  <c r="A76" i="118"/>
  <c r="A75" i="118"/>
  <c r="A74" i="118"/>
  <c r="A73" i="118"/>
  <c r="A72" i="118"/>
  <c r="A71" i="118"/>
  <c r="A70" i="118"/>
  <c r="A69" i="118"/>
  <c r="A68" i="118"/>
  <c r="A67" i="118"/>
  <c r="A66" i="118"/>
  <c r="A65" i="118"/>
  <c r="A64" i="118"/>
  <c r="A63" i="118"/>
  <c r="A62" i="118"/>
  <c r="A61" i="118"/>
  <c r="A60" i="118"/>
  <c r="A59" i="118"/>
  <c r="I58" i="118"/>
  <c r="H58" i="118"/>
  <c r="G58" i="118"/>
  <c r="F58" i="118"/>
  <c r="E58" i="118"/>
  <c r="D58" i="118"/>
  <c r="A58" i="118"/>
  <c r="I57" i="118"/>
  <c r="H57" i="118"/>
  <c r="G57" i="118"/>
  <c r="F57" i="118"/>
  <c r="E57" i="118"/>
  <c r="D57" i="118"/>
  <c r="A57" i="118"/>
  <c r="I56" i="118"/>
  <c r="H56" i="118"/>
  <c r="G56" i="118"/>
  <c r="F56" i="118"/>
  <c r="E56" i="118"/>
  <c r="D56" i="118"/>
  <c r="A56" i="118"/>
  <c r="I55" i="118"/>
  <c r="H55" i="118"/>
  <c r="G55" i="118"/>
  <c r="F55" i="118"/>
  <c r="E55" i="118"/>
  <c r="D55" i="118"/>
  <c r="A55" i="118"/>
  <c r="I54" i="118"/>
  <c r="H54" i="118"/>
  <c r="G54" i="118"/>
  <c r="F54" i="118"/>
  <c r="E54" i="118"/>
  <c r="D54" i="118"/>
  <c r="A54" i="118"/>
  <c r="I53" i="118"/>
  <c r="H53" i="118"/>
  <c r="G53" i="118"/>
  <c r="F53" i="118"/>
  <c r="E53" i="118"/>
  <c r="D53" i="118"/>
  <c r="A53" i="118"/>
  <c r="I52" i="118"/>
  <c r="H52" i="118"/>
  <c r="G52" i="118"/>
  <c r="F52" i="118"/>
  <c r="E52" i="118"/>
  <c r="D52" i="118"/>
  <c r="A52" i="118"/>
  <c r="I51" i="118"/>
  <c r="H51" i="118"/>
  <c r="G51" i="118"/>
  <c r="F51" i="118"/>
  <c r="E51" i="118"/>
  <c r="D51" i="118"/>
  <c r="A51" i="118"/>
  <c r="A34" i="118"/>
  <c r="A33" i="118"/>
  <c r="A32" i="118"/>
  <c r="A31" i="118"/>
  <c r="A30" i="118"/>
  <c r="A29" i="118"/>
  <c r="A28" i="118"/>
  <c r="A27" i="118"/>
  <c r="A24" i="118"/>
  <c r="A23" i="118"/>
  <c r="A22" i="118"/>
  <c r="A21" i="118"/>
  <c r="A20" i="118"/>
  <c r="A19" i="118"/>
  <c r="A18" i="118"/>
  <c r="A17" i="118"/>
  <c r="F71" i="113"/>
  <c r="I51" i="47"/>
  <c r="H51" i="47"/>
  <c r="G51" i="47"/>
  <c r="F51" i="47"/>
  <c r="E51" i="47"/>
  <c r="D51" i="47"/>
  <c r="G54" i="113"/>
  <c r="D72" i="115"/>
  <c r="D71" i="115"/>
  <c r="D70" i="115"/>
  <c r="D69" i="115"/>
  <c r="D68" i="115"/>
  <c r="D67" i="115"/>
  <c r="D66" i="115"/>
  <c r="D65" i="115"/>
  <c r="D64" i="115"/>
  <c r="D63" i="115"/>
  <c r="D62" i="115"/>
  <c r="D61" i="115"/>
  <c r="D60" i="115"/>
  <c r="D59" i="115"/>
  <c r="D58" i="115"/>
  <c r="D57" i="115"/>
  <c r="D56" i="115"/>
  <c r="D55" i="115"/>
  <c r="D54" i="115"/>
  <c r="D53" i="115"/>
  <c r="D52" i="115"/>
  <c r="D51" i="115"/>
  <c r="D50" i="115"/>
  <c r="D49" i="115"/>
  <c r="D48" i="115"/>
  <c r="D47" i="115"/>
  <c r="D46" i="115"/>
  <c r="D45" i="115"/>
  <c r="D44" i="115"/>
  <c r="I73" i="47"/>
  <c r="H73" i="47"/>
  <c r="G73" i="47"/>
  <c r="I72" i="47"/>
  <c r="H72" i="47"/>
  <c r="G72" i="47"/>
  <c r="F72" i="47"/>
  <c r="E72" i="47"/>
  <c r="D72" i="47"/>
  <c r="I71" i="47"/>
  <c r="H71" i="47"/>
  <c r="G71" i="47"/>
  <c r="F71" i="47"/>
  <c r="E71" i="47"/>
  <c r="D71" i="47"/>
  <c r="I70" i="47"/>
  <c r="H70" i="47"/>
  <c r="G70" i="47"/>
  <c r="F70" i="47"/>
  <c r="E70" i="47"/>
  <c r="D70" i="47"/>
  <c r="I69" i="47"/>
  <c r="H69" i="47"/>
  <c r="G69" i="47"/>
  <c r="F69" i="47"/>
  <c r="E69" i="47"/>
  <c r="D69" i="47"/>
  <c r="I68" i="47"/>
  <c r="H68" i="47"/>
  <c r="G68" i="47"/>
  <c r="F68" i="47"/>
  <c r="E68" i="47"/>
  <c r="D68" i="47"/>
  <c r="I67" i="47"/>
  <c r="H67" i="47"/>
  <c r="G67" i="47"/>
  <c r="F67" i="47"/>
  <c r="E67" i="47"/>
  <c r="D67" i="47"/>
  <c r="I66" i="47"/>
  <c r="H66" i="47"/>
  <c r="G66" i="47"/>
  <c r="I63" i="47"/>
  <c r="H63" i="47"/>
  <c r="G63" i="47"/>
  <c r="I56" i="47"/>
  <c r="H56" i="47"/>
  <c r="G56" i="47"/>
  <c r="I53" i="47"/>
  <c r="H53" i="47"/>
  <c r="G53" i="47"/>
  <c r="I46" i="47"/>
  <c r="H46" i="47"/>
  <c r="G46" i="47"/>
  <c r="C120" i="114"/>
  <c r="C115" i="114"/>
  <c r="C100" i="114"/>
  <c r="C20" i="114"/>
  <c r="V73" i="113"/>
  <c r="T73" i="113"/>
  <c r="S73" i="113"/>
  <c r="V72" i="113"/>
  <c r="T72" i="113"/>
  <c r="S72" i="113"/>
  <c r="C72" i="113"/>
  <c r="V71" i="113"/>
  <c r="T71" i="113"/>
  <c r="S71" i="113"/>
  <c r="I71" i="113"/>
  <c r="G71" i="113"/>
  <c r="C71" i="113"/>
  <c r="V70" i="113"/>
  <c r="T70" i="113"/>
  <c r="S70" i="113"/>
  <c r="G70" i="113"/>
  <c r="F70" i="113"/>
  <c r="D70" i="113"/>
  <c r="C70" i="113"/>
  <c r="V69" i="113"/>
  <c r="T69" i="113"/>
  <c r="S69" i="113"/>
  <c r="I69" i="113"/>
  <c r="G69" i="113"/>
  <c r="F69" i="113"/>
  <c r="D69" i="113"/>
  <c r="C69" i="113"/>
  <c r="V135" i="114"/>
  <c r="T135" i="114"/>
  <c r="S135" i="114"/>
  <c r="AF134" i="114"/>
  <c r="AE134" i="114"/>
  <c r="AD134" i="114"/>
  <c r="AC134" i="114"/>
  <c r="AB134" i="114"/>
  <c r="AA134" i="114"/>
  <c r="Z134" i="114"/>
  <c r="V134" i="114"/>
  <c r="T134" i="114"/>
  <c r="S134" i="114"/>
  <c r="C134" i="114"/>
  <c r="V133" i="114"/>
  <c r="T133" i="114"/>
  <c r="S133" i="114"/>
  <c r="H133" i="114"/>
  <c r="G133" i="114"/>
  <c r="C133" i="114"/>
  <c r="V132" i="114"/>
  <c r="T132" i="114"/>
  <c r="S132" i="114"/>
  <c r="G132" i="114"/>
  <c r="D132" i="114"/>
  <c r="C132" i="114"/>
  <c r="V131" i="114"/>
  <c r="T131" i="114"/>
  <c r="AH131" i="114" s="1"/>
  <c r="S131" i="114"/>
  <c r="H131" i="114"/>
  <c r="G131" i="114"/>
  <c r="D131" i="114"/>
  <c r="C131" i="114"/>
  <c r="V130" i="114"/>
  <c r="T130" i="114"/>
  <c r="S130" i="114"/>
  <c r="C130" i="114"/>
  <c r="AF129" i="114"/>
  <c r="AE129" i="114"/>
  <c r="AD129" i="114"/>
  <c r="AC129" i="114"/>
  <c r="AB129" i="114"/>
  <c r="AA129" i="114"/>
  <c r="Z129" i="114"/>
  <c r="V129" i="114"/>
  <c r="T129" i="114"/>
  <c r="S129" i="114"/>
  <c r="C129" i="114"/>
  <c r="V128" i="114"/>
  <c r="T128" i="114"/>
  <c r="S128" i="114"/>
  <c r="H128" i="114"/>
  <c r="G128" i="114"/>
  <c r="C128" i="114"/>
  <c r="V127" i="114"/>
  <c r="T127" i="114"/>
  <c r="S127" i="114"/>
  <c r="G127" i="114"/>
  <c r="D127" i="114"/>
  <c r="C127" i="114"/>
  <c r="V126" i="114"/>
  <c r="T126" i="114"/>
  <c r="S126" i="114"/>
  <c r="H126" i="114"/>
  <c r="G126" i="114"/>
  <c r="D126" i="114"/>
  <c r="C126" i="114"/>
  <c r="V125" i="114"/>
  <c r="T125" i="114"/>
  <c r="S125" i="114"/>
  <c r="AF124" i="114"/>
  <c r="AE124" i="114"/>
  <c r="AD124" i="114"/>
  <c r="AC124" i="114"/>
  <c r="AB124" i="114"/>
  <c r="AA124" i="114"/>
  <c r="V124" i="114"/>
  <c r="T124" i="114"/>
  <c r="S124" i="114"/>
  <c r="C124" i="114"/>
  <c r="V123" i="114"/>
  <c r="T123" i="114"/>
  <c r="S123" i="114"/>
  <c r="H123" i="114"/>
  <c r="G123" i="114"/>
  <c r="F123" i="114"/>
  <c r="F124" i="114" s="1"/>
  <c r="C123" i="114"/>
  <c r="V122" i="114"/>
  <c r="T122" i="114"/>
  <c r="S122" i="114"/>
  <c r="G122" i="114"/>
  <c r="F122" i="114"/>
  <c r="D122" i="114"/>
  <c r="C122" i="114"/>
  <c r="V121" i="114"/>
  <c r="T121" i="114"/>
  <c r="S121" i="114"/>
  <c r="H121" i="114"/>
  <c r="G121" i="114"/>
  <c r="F121" i="114"/>
  <c r="D121" i="114"/>
  <c r="C121" i="114"/>
  <c r="V120" i="114"/>
  <c r="T120" i="114"/>
  <c r="S120" i="114"/>
  <c r="AE119" i="114"/>
  <c r="AB119" i="114"/>
  <c r="V119" i="114"/>
  <c r="T119" i="114"/>
  <c r="S119" i="114"/>
  <c r="V118" i="114"/>
  <c r="T118" i="114"/>
  <c r="S118" i="114"/>
  <c r="H118" i="114"/>
  <c r="G118" i="114"/>
  <c r="C118" i="114"/>
  <c r="V117" i="114"/>
  <c r="T117" i="114"/>
  <c r="S117" i="114"/>
  <c r="G117" i="114"/>
  <c r="D117" i="114"/>
  <c r="C117" i="114"/>
  <c r="V116" i="114"/>
  <c r="T116" i="114"/>
  <c r="S116" i="114"/>
  <c r="H116" i="114"/>
  <c r="G116" i="114"/>
  <c r="D116" i="114"/>
  <c r="C116" i="114"/>
  <c r="T115" i="114"/>
  <c r="S115" i="114"/>
  <c r="AF114" i="114"/>
  <c r="AE114" i="114"/>
  <c r="AD114" i="114"/>
  <c r="T114" i="114"/>
  <c r="S114" i="114"/>
  <c r="T113" i="114"/>
  <c r="S113" i="114"/>
  <c r="I113" i="114"/>
  <c r="H113" i="114"/>
  <c r="G113" i="114"/>
  <c r="C113" i="114"/>
  <c r="T112" i="114"/>
  <c r="S112" i="114"/>
  <c r="G112" i="114"/>
  <c r="D112" i="114"/>
  <c r="C112" i="114"/>
  <c r="AI111" i="114"/>
  <c r="AH111" i="114"/>
  <c r="T111" i="114"/>
  <c r="S111" i="114"/>
  <c r="I111" i="114"/>
  <c r="H111" i="114"/>
  <c r="G111" i="114"/>
  <c r="F111" i="114"/>
  <c r="D111" i="114"/>
  <c r="C111" i="114"/>
  <c r="V110" i="114"/>
  <c r="T110" i="114"/>
  <c r="S110" i="114"/>
  <c r="AB109" i="114"/>
  <c r="V109" i="114"/>
  <c r="T109" i="114"/>
  <c r="S109" i="114"/>
  <c r="C109" i="114"/>
  <c r="V108" i="114"/>
  <c r="T108" i="114"/>
  <c r="S108" i="114"/>
  <c r="I108" i="114"/>
  <c r="G108" i="114"/>
  <c r="F108" i="114"/>
  <c r="C108" i="114"/>
  <c r="V107" i="114"/>
  <c r="T107" i="114"/>
  <c r="S107" i="114"/>
  <c r="G107" i="114"/>
  <c r="F107" i="114"/>
  <c r="D107" i="114"/>
  <c r="C107" i="114"/>
  <c r="V106" i="114"/>
  <c r="T106" i="114"/>
  <c r="S106" i="114"/>
  <c r="I106" i="114"/>
  <c r="G106" i="114"/>
  <c r="F106" i="114"/>
  <c r="D106" i="114"/>
  <c r="C106" i="114"/>
  <c r="V105" i="114"/>
  <c r="T105" i="114"/>
  <c r="S105" i="114"/>
  <c r="V104" i="114"/>
  <c r="T104" i="114"/>
  <c r="S104" i="114"/>
  <c r="C104" i="114"/>
  <c r="V103" i="114"/>
  <c r="T103" i="114"/>
  <c r="S103" i="114"/>
  <c r="I103" i="114"/>
  <c r="H103" i="114"/>
  <c r="G103" i="114"/>
  <c r="C103" i="114"/>
  <c r="V102" i="114"/>
  <c r="T102" i="114"/>
  <c r="S102" i="114"/>
  <c r="G102" i="114"/>
  <c r="D102" i="114"/>
  <c r="C102" i="114"/>
  <c r="V101" i="114"/>
  <c r="T101" i="114"/>
  <c r="S101" i="114"/>
  <c r="I101" i="114"/>
  <c r="H101" i="114"/>
  <c r="G101" i="114"/>
  <c r="D101" i="114"/>
  <c r="C101" i="114"/>
  <c r="T100" i="114"/>
  <c r="S100" i="114"/>
  <c r="AB99" i="114"/>
  <c r="AA99" i="114"/>
  <c r="T99" i="114"/>
  <c r="S99" i="114"/>
  <c r="T98" i="114"/>
  <c r="S98" i="114"/>
  <c r="I98" i="114"/>
  <c r="H98" i="114"/>
  <c r="G98" i="114"/>
  <c r="C98" i="114"/>
  <c r="T97" i="114"/>
  <c r="S97" i="114"/>
  <c r="G97" i="114"/>
  <c r="F97" i="114"/>
  <c r="D97" i="114"/>
  <c r="C97" i="114"/>
  <c r="T96" i="114"/>
  <c r="S96" i="114"/>
  <c r="I96" i="114"/>
  <c r="H96" i="114"/>
  <c r="G96" i="114"/>
  <c r="F96" i="114"/>
  <c r="D96" i="114"/>
  <c r="C96" i="114"/>
  <c r="V95" i="114"/>
  <c r="T95" i="114"/>
  <c r="S95" i="114"/>
  <c r="V94" i="114"/>
  <c r="T94" i="114"/>
  <c r="S94" i="114"/>
  <c r="C94" i="114"/>
  <c r="V93" i="114"/>
  <c r="T93" i="114"/>
  <c r="S93" i="114"/>
  <c r="I93" i="114"/>
  <c r="H93" i="114"/>
  <c r="G93" i="114"/>
  <c r="F93" i="114"/>
  <c r="C93" i="114"/>
  <c r="V92" i="114"/>
  <c r="T92" i="114"/>
  <c r="S92" i="114"/>
  <c r="G92" i="114"/>
  <c r="D92" i="114"/>
  <c r="C92" i="114"/>
  <c r="V91" i="114"/>
  <c r="T91" i="114"/>
  <c r="S91" i="114"/>
  <c r="I91" i="114"/>
  <c r="H91" i="114"/>
  <c r="G91" i="114"/>
  <c r="D91" i="114"/>
  <c r="C91" i="114"/>
  <c r="V80" i="114"/>
  <c r="T80" i="114"/>
  <c r="S80" i="114"/>
  <c r="V79" i="114"/>
  <c r="T79" i="114"/>
  <c r="S79" i="114"/>
  <c r="C79" i="114"/>
  <c r="V78" i="114"/>
  <c r="T78" i="114"/>
  <c r="S78" i="114"/>
  <c r="H78" i="114"/>
  <c r="G78" i="114"/>
  <c r="F78" i="114"/>
  <c r="C78" i="114"/>
  <c r="V77" i="114"/>
  <c r="T77" i="114"/>
  <c r="S77" i="114"/>
  <c r="G77" i="114"/>
  <c r="D77" i="114"/>
  <c r="C77" i="114"/>
  <c r="V76" i="114"/>
  <c r="T76" i="114"/>
  <c r="S76" i="114"/>
  <c r="H76" i="114"/>
  <c r="G76" i="114"/>
  <c r="D76" i="114"/>
  <c r="C76" i="114"/>
  <c r="V90" i="114"/>
  <c r="T90" i="114"/>
  <c r="S90" i="114"/>
  <c r="V89" i="114"/>
  <c r="T89" i="114"/>
  <c r="S89" i="114"/>
  <c r="C89" i="114"/>
  <c r="V88" i="114"/>
  <c r="T88" i="114"/>
  <c r="S88" i="114"/>
  <c r="G88" i="114"/>
  <c r="C88" i="114"/>
  <c r="V87" i="114"/>
  <c r="T87" i="114"/>
  <c r="S87" i="114"/>
  <c r="D87" i="114"/>
  <c r="C87" i="114"/>
  <c r="V86" i="114"/>
  <c r="T86" i="114"/>
  <c r="S86" i="114"/>
  <c r="F86" i="114"/>
  <c r="D86" i="114"/>
  <c r="C86" i="114"/>
  <c r="T85" i="114"/>
  <c r="S85" i="114"/>
  <c r="T84" i="114"/>
  <c r="S84" i="114"/>
  <c r="C84" i="114"/>
  <c r="T83" i="114"/>
  <c r="S83" i="114"/>
  <c r="F83" i="114"/>
  <c r="C83" i="114"/>
  <c r="T82" i="114"/>
  <c r="S82" i="114"/>
  <c r="D82" i="114"/>
  <c r="C82" i="114"/>
  <c r="T81" i="114"/>
  <c r="S81" i="114"/>
  <c r="F81" i="114"/>
  <c r="D81" i="114"/>
  <c r="C81" i="114"/>
  <c r="V75" i="114"/>
  <c r="T75" i="114"/>
  <c r="S75" i="114"/>
  <c r="V74" i="114"/>
  <c r="T74" i="114"/>
  <c r="S74" i="114"/>
  <c r="C74" i="114"/>
  <c r="V73" i="114"/>
  <c r="T73" i="114"/>
  <c r="S73" i="114"/>
  <c r="I73" i="114"/>
  <c r="F73" i="114"/>
  <c r="F74" i="114" s="1"/>
  <c r="C73" i="114"/>
  <c r="V72" i="114"/>
  <c r="T72" i="114"/>
  <c r="S72" i="114"/>
  <c r="F72" i="114"/>
  <c r="D72" i="114"/>
  <c r="C72" i="114"/>
  <c r="V71" i="114"/>
  <c r="T71" i="114"/>
  <c r="S71" i="114"/>
  <c r="I71" i="114"/>
  <c r="F71" i="114"/>
  <c r="D71" i="114"/>
  <c r="C71" i="114"/>
  <c r="V45" i="114"/>
  <c r="T45" i="114"/>
  <c r="S45" i="114"/>
  <c r="V44" i="114"/>
  <c r="T44" i="114"/>
  <c r="S44" i="114"/>
  <c r="C44" i="114"/>
  <c r="V43" i="114"/>
  <c r="T43" i="114"/>
  <c r="S43" i="114"/>
  <c r="I43" i="114"/>
  <c r="H43" i="114"/>
  <c r="G43" i="114"/>
  <c r="C43" i="114"/>
  <c r="V42" i="114"/>
  <c r="T42" i="114"/>
  <c r="S42" i="114"/>
  <c r="G42" i="114"/>
  <c r="F42" i="114"/>
  <c r="D42" i="114"/>
  <c r="C42" i="114"/>
  <c r="V41" i="114"/>
  <c r="T41" i="114"/>
  <c r="S41" i="114"/>
  <c r="I41" i="114"/>
  <c r="H41" i="114"/>
  <c r="G41" i="114"/>
  <c r="D41" i="114"/>
  <c r="C41" i="114"/>
  <c r="T65" i="114"/>
  <c r="S65" i="114"/>
  <c r="T64" i="114"/>
  <c r="S64" i="114"/>
  <c r="C64" i="114"/>
  <c r="T63" i="114"/>
  <c r="S63" i="114"/>
  <c r="C63" i="114"/>
  <c r="T62" i="114"/>
  <c r="S62" i="114"/>
  <c r="D62" i="114"/>
  <c r="C62" i="114"/>
  <c r="T61" i="114"/>
  <c r="S61" i="114"/>
  <c r="D61" i="114"/>
  <c r="C61" i="114"/>
  <c r="T70" i="114"/>
  <c r="S70" i="114"/>
  <c r="T69" i="114"/>
  <c r="S69" i="114"/>
  <c r="C69" i="114"/>
  <c r="T68" i="114"/>
  <c r="S68" i="114"/>
  <c r="H68" i="114"/>
  <c r="G68" i="114"/>
  <c r="C68" i="114"/>
  <c r="T67" i="114"/>
  <c r="S67" i="114"/>
  <c r="G67" i="114"/>
  <c r="D67" i="114"/>
  <c r="C67" i="114"/>
  <c r="T66" i="114"/>
  <c r="S66" i="114"/>
  <c r="H66" i="114"/>
  <c r="G66" i="114"/>
  <c r="F66" i="114"/>
  <c r="D66" i="114"/>
  <c r="C66" i="114"/>
  <c r="V40" i="114"/>
  <c r="T40" i="114"/>
  <c r="S40" i="114"/>
  <c r="V39" i="114"/>
  <c r="T39" i="114"/>
  <c r="S39" i="114"/>
  <c r="C39" i="114"/>
  <c r="V38" i="114"/>
  <c r="T38" i="114"/>
  <c r="S38" i="114"/>
  <c r="C38" i="114"/>
  <c r="V37" i="114"/>
  <c r="T37" i="114"/>
  <c r="S37" i="114"/>
  <c r="D37" i="114"/>
  <c r="C37" i="114"/>
  <c r="V36" i="114"/>
  <c r="T36" i="114"/>
  <c r="S36" i="114"/>
  <c r="D36" i="114"/>
  <c r="C36" i="114"/>
  <c r="T50" i="114"/>
  <c r="S50" i="114"/>
  <c r="T49" i="114"/>
  <c r="S49" i="114"/>
  <c r="C49" i="114"/>
  <c r="T48" i="114"/>
  <c r="S48" i="114"/>
  <c r="I48" i="114"/>
  <c r="H48" i="114"/>
  <c r="G48" i="114"/>
  <c r="F48" i="114"/>
  <c r="C48" i="114"/>
  <c r="T47" i="114"/>
  <c r="S47" i="114"/>
  <c r="G47" i="114"/>
  <c r="F47" i="114"/>
  <c r="D47" i="114"/>
  <c r="C47" i="114"/>
  <c r="T46" i="114"/>
  <c r="S46" i="114"/>
  <c r="I46" i="114"/>
  <c r="H46" i="114"/>
  <c r="G46" i="114"/>
  <c r="F46" i="114"/>
  <c r="D46" i="114"/>
  <c r="C46" i="114"/>
  <c r="V60" i="114"/>
  <c r="T60" i="114"/>
  <c r="S60" i="114"/>
  <c r="V59" i="114"/>
  <c r="T59" i="114"/>
  <c r="S59" i="114"/>
  <c r="C59" i="114"/>
  <c r="V58" i="114"/>
  <c r="T58" i="114"/>
  <c r="S58" i="114"/>
  <c r="I58" i="114"/>
  <c r="H58" i="114"/>
  <c r="G58" i="114"/>
  <c r="F58" i="114"/>
  <c r="C58" i="114"/>
  <c r="V57" i="114"/>
  <c r="T57" i="114"/>
  <c r="S57" i="114"/>
  <c r="G57" i="114"/>
  <c r="D57" i="114"/>
  <c r="C57" i="114"/>
  <c r="V56" i="114"/>
  <c r="T56" i="114"/>
  <c r="S56" i="114"/>
  <c r="I56" i="114"/>
  <c r="H56" i="114"/>
  <c r="G56" i="114"/>
  <c r="F56" i="114"/>
  <c r="D56" i="114"/>
  <c r="C56" i="114"/>
  <c r="T55" i="114"/>
  <c r="S55" i="114"/>
  <c r="T54" i="114"/>
  <c r="S54" i="114"/>
  <c r="C54" i="114"/>
  <c r="T53" i="114"/>
  <c r="S53" i="114"/>
  <c r="C53" i="114"/>
  <c r="T52" i="114"/>
  <c r="S52" i="114"/>
  <c r="D52" i="114"/>
  <c r="C52" i="114"/>
  <c r="T51" i="114"/>
  <c r="S51" i="114"/>
  <c r="D51" i="114"/>
  <c r="C51" i="114"/>
  <c r="T35" i="114"/>
  <c r="S35" i="114"/>
  <c r="T34" i="114"/>
  <c r="S34" i="114"/>
  <c r="C34" i="114"/>
  <c r="T33" i="114"/>
  <c r="S33" i="114"/>
  <c r="I33" i="114"/>
  <c r="F33" i="114"/>
  <c r="C33" i="114"/>
  <c r="T32" i="114"/>
  <c r="S32" i="114"/>
  <c r="F32" i="114"/>
  <c r="D32" i="114"/>
  <c r="C32" i="114"/>
  <c r="T31" i="114"/>
  <c r="S31" i="114"/>
  <c r="I31" i="114"/>
  <c r="F31" i="114"/>
  <c r="D31" i="114"/>
  <c r="C31" i="114"/>
  <c r="T30" i="114"/>
  <c r="S30" i="114"/>
  <c r="T29" i="114"/>
  <c r="S29" i="114"/>
  <c r="C29" i="114"/>
  <c r="T28" i="114"/>
  <c r="S28" i="114"/>
  <c r="I28" i="114"/>
  <c r="H28" i="114"/>
  <c r="G28" i="114"/>
  <c r="C28" i="114"/>
  <c r="T27" i="114"/>
  <c r="S27" i="114"/>
  <c r="G27" i="114"/>
  <c r="F27" i="114"/>
  <c r="D27" i="114"/>
  <c r="C27" i="114"/>
  <c r="T26" i="114"/>
  <c r="S26" i="114"/>
  <c r="I26" i="114"/>
  <c r="H26" i="114"/>
  <c r="G26" i="114"/>
  <c r="F26" i="114"/>
  <c r="D26" i="114"/>
  <c r="C26" i="114"/>
  <c r="V25" i="114"/>
  <c r="T25" i="114"/>
  <c r="S25" i="114"/>
  <c r="V24" i="114"/>
  <c r="T24" i="114"/>
  <c r="S24" i="114"/>
  <c r="C24" i="114"/>
  <c r="V23" i="114"/>
  <c r="T23" i="114"/>
  <c r="S23" i="114"/>
  <c r="I23" i="114"/>
  <c r="C23" i="114"/>
  <c r="V22" i="114"/>
  <c r="T22" i="114"/>
  <c r="S22" i="114"/>
  <c r="D22" i="114"/>
  <c r="C22" i="114"/>
  <c r="V21" i="114"/>
  <c r="T21" i="114"/>
  <c r="S21" i="114"/>
  <c r="I21" i="114"/>
  <c r="D21" i="114"/>
  <c r="C21" i="114"/>
  <c r="V20" i="114"/>
  <c r="T20" i="114"/>
  <c r="S20" i="114"/>
  <c r="V19" i="114"/>
  <c r="T19" i="114"/>
  <c r="S19" i="114"/>
  <c r="V18" i="114"/>
  <c r="T18" i="114"/>
  <c r="S18" i="114"/>
  <c r="O18" i="114"/>
  <c r="N18" i="114"/>
  <c r="M18" i="114"/>
  <c r="L18" i="114"/>
  <c r="K18" i="114"/>
  <c r="J18" i="114"/>
  <c r="C18" i="114"/>
  <c r="V17" i="114"/>
  <c r="T17" i="114"/>
  <c r="S17" i="114"/>
  <c r="K17" i="114"/>
  <c r="D17" i="114"/>
  <c r="C17" i="114"/>
  <c r="V16" i="114"/>
  <c r="T16" i="114"/>
  <c r="S16" i="114"/>
  <c r="O16" i="114"/>
  <c r="N16" i="114"/>
  <c r="M16" i="114"/>
  <c r="L16" i="114"/>
  <c r="K16" i="114"/>
  <c r="J16" i="114"/>
  <c r="D16" i="114"/>
  <c r="C16" i="114"/>
  <c r="Q12" i="114"/>
  <c r="L12" i="114"/>
  <c r="K12" i="114"/>
  <c r="A12" i="114"/>
  <c r="Q11" i="114"/>
  <c r="L11" i="114"/>
  <c r="K11" i="114"/>
  <c r="B11" i="114"/>
  <c r="A11" i="114"/>
  <c r="R10" i="114"/>
  <c r="Q10" i="114"/>
  <c r="L10" i="114"/>
  <c r="K10" i="114"/>
  <c r="B10" i="114"/>
  <c r="A10" i="114"/>
  <c r="R9" i="114"/>
  <c r="Q9" i="114"/>
  <c r="L9" i="114"/>
  <c r="K9" i="114"/>
  <c r="B9" i="114"/>
  <c r="A9" i="114"/>
  <c r="R8" i="114"/>
  <c r="Q8" i="114"/>
  <c r="L8" i="114"/>
  <c r="K8" i="114"/>
  <c r="A8" i="114"/>
  <c r="Q7" i="114"/>
  <c r="K7" i="114"/>
  <c r="A4" i="114"/>
  <c r="A3" i="114"/>
  <c r="A2" i="114"/>
  <c r="A1" i="114"/>
  <c r="D76" i="112"/>
  <c r="V68" i="113"/>
  <c r="T68" i="113"/>
  <c r="S68" i="113"/>
  <c r="V67" i="113"/>
  <c r="T67" i="113"/>
  <c r="S67" i="113"/>
  <c r="C67" i="113"/>
  <c r="V66" i="113"/>
  <c r="T66" i="113"/>
  <c r="S66" i="113"/>
  <c r="I66" i="113"/>
  <c r="H66" i="113"/>
  <c r="G66" i="113"/>
  <c r="C66" i="113"/>
  <c r="V65" i="113"/>
  <c r="T65" i="113"/>
  <c r="S65" i="113"/>
  <c r="G65" i="113"/>
  <c r="D65" i="113"/>
  <c r="C65" i="113"/>
  <c r="V64" i="113"/>
  <c r="T64" i="113"/>
  <c r="S64" i="113"/>
  <c r="I64" i="113"/>
  <c r="H64" i="113"/>
  <c r="G64" i="113"/>
  <c r="D64" i="113"/>
  <c r="C64" i="113"/>
  <c r="V63" i="113"/>
  <c r="T63" i="113"/>
  <c r="S63" i="113"/>
  <c r="V62" i="113"/>
  <c r="T62" i="113"/>
  <c r="S62" i="113"/>
  <c r="C62" i="113"/>
  <c r="V61" i="113"/>
  <c r="T61" i="113"/>
  <c r="S61" i="113"/>
  <c r="I61" i="113"/>
  <c r="H61" i="113"/>
  <c r="G61" i="113"/>
  <c r="C61" i="113"/>
  <c r="V60" i="113"/>
  <c r="T60" i="113"/>
  <c r="S60" i="113"/>
  <c r="G60" i="113"/>
  <c r="F60" i="113"/>
  <c r="D60" i="113"/>
  <c r="C60" i="113"/>
  <c r="V59" i="113"/>
  <c r="T59" i="113"/>
  <c r="S59" i="113"/>
  <c r="I59" i="113"/>
  <c r="H59" i="113"/>
  <c r="G59" i="113"/>
  <c r="F59" i="113"/>
  <c r="D59" i="113"/>
  <c r="C59" i="113"/>
  <c r="V48" i="113"/>
  <c r="T48" i="113"/>
  <c r="S48" i="113"/>
  <c r="V47" i="113"/>
  <c r="T47" i="113"/>
  <c r="S47" i="113"/>
  <c r="C47" i="113"/>
  <c r="V46" i="113"/>
  <c r="T46" i="113"/>
  <c r="S46" i="113"/>
  <c r="H46" i="113"/>
  <c r="G46" i="113"/>
  <c r="C46" i="113"/>
  <c r="V45" i="113"/>
  <c r="T45" i="113"/>
  <c r="S45" i="113"/>
  <c r="G45" i="113"/>
  <c r="F45" i="113"/>
  <c r="D45" i="113"/>
  <c r="C45" i="113"/>
  <c r="V44" i="113"/>
  <c r="T44" i="113"/>
  <c r="S44" i="113"/>
  <c r="H44" i="113"/>
  <c r="G44" i="113"/>
  <c r="F44" i="113"/>
  <c r="D44" i="113"/>
  <c r="C44" i="113"/>
  <c r="V58" i="113"/>
  <c r="T58" i="113"/>
  <c r="S58" i="113"/>
  <c r="V57" i="113"/>
  <c r="T57" i="113"/>
  <c r="S57" i="113"/>
  <c r="C57" i="113"/>
  <c r="V56" i="113"/>
  <c r="T56" i="113"/>
  <c r="S56" i="113"/>
  <c r="G56" i="113"/>
  <c r="F56" i="113"/>
  <c r="C56" i="113"/>
  <c r="V55" i="113"/>
  <c r="T55" i="113"/>
  <c r="S55" i="113"/>
  <c r="F55" i="113"/>
  <c r="D55" i="113"/>
  <c r="C55" i="113"/>
  <c r="V54" i="113"/>
  <c r="T54" i="113"/>
  <c r="S54" i="113"/>
  <c r="D54" i="113"/>
  <c r="C54" i="113"/>
  <c r="T53" i="113"/>
  <c r="S53" i="113"/>
  <c r="T52" i="113"/>
  <c r="S52" i="113"/>
  <c r="C52" i="113"/>
  <c r="T51" i="113"/>
  <c r="S51" i="113"/>
  <c r="C51" i="113"/>
  <c r="T50" i="113"/>
  <c r="S50" i="113"/>
  <c r="F50" i="113"/>
  <c r="D50" i="113"/>
  <c r="C50" i="113"/>
  <c r="T49" i="113"/>
  <c r="S49" i="113"/>
  <c r="D49" i="113"/>
  <c r="C49" i="113"/>
  <c r="V43" i="113"/>
  <c r="T43" i="113"/>
  <c r="S43" i="113"/>
  <c r="V42" i="113"/>
  <c r="T42" i="113"/>
  <c r="S42" i="113"/>
  <c r="C42" i="113"/>
  <c r="V41" i="113"/>
  <c r="T41" i="113"/>
  <c r="S41" i="113"/>
  <c r="I41" i="113"/>
  <c r="F41" i="113"/>
  <c r="C41" i="113"/>
  <c r="V40" i="113"/>
  <c r="T40" i="113"/>
  <c r="S40" i="113"/>
  <c r="F40" i="113"/>
  <c r="D40" i="113"/>
  <c r="C40" i="113"/>
  <c r="V39" i="113"/>
  <c r="T39" i="113"/>
  <c r="S39" i="113"/>
  <c r="I39" i="113"/>
  <c r="F39" i="113"/>
  <c r="D39" i="113"/>
  <c r="C39" i="113"/>
  <c r="V23" i="113"/>
  <c r="T23" i="113"/>
  <c r="S23" i="113"/>
  <c r="V22" i="113"/>
  <c r="T22" i="113"/>
  <c r="S22" i="113"/>
  <c r="C22" i="113"/>
  <c r="V21" i="113"/>
  <c r="T21" i="113"/>
  <c r="S21" i="113"/>
  <c r="I21" i="113"/>
  <c r="H21" i="113"/>
  <c r="G21" i="113"/>
  <c r="F21" i="113"/>
  <c r="C21" i="113"/>
  <c r="V20" i="113"/>
  <c r="T20" i="113"/>
  <c r="S20" i="113"/>
  <c r="G20" i="113"/>
  <c r="D20" i="113"/>
  <c r="C20" i="113"/>
  <c r="V19" i="113"/>
  <c r="T19" i="113"/>
  <c r="S19" i="113"/>
  <c r="I19" i="113"/>
  <c r="H19" i="113"/>
  <c r="G19" i="113"/>
  <c r="F19" i="113"/>
  <c r="D19" i="113"/>
  <c r="C19" i="113"/>
  <c r="T33" i="113"/>
  <c r="S33" i="113"/>
  <c r="T32" i="113"/>
  <c r="S32" i="113"/>
  <c r="C32" i="113"/>
  <c r="T31" i="113"/>
  <c r="S31" i="113"/>
  <c r="C31" i="113"/>
  <c r="T30" i="113"/>
  <c r="S30" i="113"/>
  <c r="D30" i="113"/>
  <c r="C30" i="113"/>
  <c r="T29" i="113"/>
  <c r="S29" i="113"/>
  <c r="D29" i="113"/>
  <c r="C29" i="113"/>
  <c r="T38" i="113"/>
  <c r="S38" i="113"/>
  <c r="T37" i="113"/>
  <c r="S37" i="113"/>
  <c r="C37" i="113"/>
  <c r="T36" i="113"/>
  <c r="S36" i="113"/>
  <c r="H36" i="113"/>
  <c r="G36" i="113"/>
  <c r="F36" i="113"/>
  <c r="C36" i="113"/>
  <c r="T35" i="113"/>
  <c r="S35" i="113"/>
  <c r="G35" i="113"/>
  <c r="F35" i="113"/>
  <c r="D35" i="113"/>
  <c r="C35" i="113"/>
  <c r="T34" i="113"/>
  <c r="S34" i="113"/>
  <c r="H34" i="113"/>
  <c r="G34" i="113"/>
  <c r="D34" i="113"/>
  <c r="C34" i="113"/>
  <c r="V18" i="113"/>
  <c r="T18" i="113"/>
  <c r="S18" i="113"/>
  <c r="V17" i="113"/>
  <c r="T17" i="113"/>
  <c r="S17" i="113"/>
  <c r="C17" i="113"/>
  <c r="V16" i="113"/>
  <c r="T16" i="113"/>
  <c r="S16" i="113"/>
  <c r="C16" i="113"/>
  <c r="V15" i="113"/>
  <c r="T15" i="113"/>
  <c r="S15" i="113"/>
  <c r="D15" i="113"/>
  <c r="C15" i="113"/>
  <c r="V14" i="113"/>
  <c r="T14" i="113"/>
  <c r="S14" i="113"/>
  <c r="D14" i="113"/>
  <c r="C14" i="113"/>
  <c r="T28" i="113"/>
  <c r="S28" i="113"/>
  <c r="T27" i="113"/>
  <c r="S27" i="113"/>
  <c r="C27" i="113"/>
  <c r="T26" i="113"/>
  <c r="S26" i="113"/>
  <c r="C26" i="113"/>
  <c r="T25" i="113"/>
  <c r="S25" i="113"/>
  <c r="D25" i="113"/>
  <c r="C25" i="113"/>
  <c r="T24" i="113"/>
  <c r="S24" i="113"/>
  <c r="D24" i="113"/>
  <c r="C24" i="113"/>
  <c r="Q12" i="113"/>
  <c r="L12" i="113"/>
  <c r="K12" i="113"/>
  <c r="A12" i="113"/>
  <c r="Q11" i="113"/>
  <c r="L11" i="113"/>
  <c r="K11" i="113"/>
  <c r="A11" i="113"/>
  <c r="R10" i="113"/>
  <c r="Q10" i="113"/>
  <c r="L10" i="113"/>
  <c r="K10" i="113"/>
  <c r="A10" i="113"/>
  <c r="R9" i="113"/>
  <c r="Q9" i="113"/>
  <c r="L9" i="113"/>
  <c r="K9" i="113"/>
  <c r="A9" i="113"/>
  <c r="R8" i="113"/>
  <c r="Q8" i="113"/>
  <c r="L8" i="113"/>
  <c r="K8" i="113"/>
  <c r="Q7" i="113"/>
  <c r="K7" i="113"/>
  <c r="A4" i="113"/>
  <c r="A3" i="113"/>
  <c r="A2" i="113"/>
  <c r="A1" i="113"/>
  <c r="K35" i="51"/>
  <c r="K34" i="51"/>
  <c r="K33" i="51"/>
  <c r="K32" i="51"/>
  <c r="K31" i="51"/>
  <c r="K30" i="51"/>
  <c r="K29" i="51"/>
  <c r="K28" i="51"/>
  <c r="K27" i="51"/>
  <c r="K26" i="51"/>
  <c r="K25" i="51"/>
  <c r="K24" i="51"/>
  <c r="K23" i="51"/>
  <c r="K22" i="51"/>
  <c r="K21" i="51"/>
  <c r="K20" i="51"/>
  <c r="K19" i="51"/>
  <c r="K18" i="51"/>
  <c r="K17" i="51"/>
  <c r="F46" i="113" l="1"/>
  <c r="P44" i="113" s="1"/>
  <c r="AH44" i="113" s="1"/>
  <c r="F16" i="114"/>
  <c r="F17" i="114"/>
  <c r="F67" i="114"/>
  <c r="F41" i="114"/>
  <c r="F88" i="114"/>
  <c r="F89" i="114" s="1"/>
  <c r="F76" i="114"/>
  <c r="F92" i="114"/>
  <c r="F112" i="114"/>
  <c r="F116" i="114"/>
  <c r="F118" i="114"/>
  <c r="F128" i="114"/>
  <c r="F129" i="114" s="1"/>
  <c r="W129" i="114" s="1"/>
  <c r="F28" i="114"/>
  <c r="P26" i="114" s="1"/>
  <c r="Q26" i="114" s="1"/>
  <c r="AI26" i="114" s="1"/>
  <c r="F34" i="113"/>
  <c r="F20" i="113"/>
  <c r="F49" i="113"/>
  <c r="F51" i="113"/>
  <c r="F52" i="113" s="1"/>
  <c r="F54" i="113"/>
  <c r="F61" i="113"/>
  <c r="F18" i="114"/>
  <c r="F57" i="114"/>
  <c r="F68" i="114"/>
  <c r="O69" i="114" s="1"/>
  <c r="F43" i="114"/>
  <c r="K44" i="114" s="1"/>
  <c r="F82" i="114"/>
  <c r="F87" i="114"/>
  <c r="F77" i="114"/>
  <c r="F91" i="114"/>
  <c r="F98" i="114"/>
  <c r="N99" i="114" s="1"/>
  <c r="AE99" i="114" s="1"/>
  <c r="F113" i="114"/>
  <c r="J114" i="114" s="1"/>
  <c r="AA114" i="114" s="1"/>
  <c r="F117" i="114"/>
  <c r="F126" i="114"/>
  <c r="F127" i="114"/>
  <c r="G86" i="114"/>
  <c r="P69" i="113"/>
  <c r="AI69" i="113" s="1"/>
  <c r="N72" i="113"/>
  <c r="AE72" i="113" s="1"/>
  <c r="K72" i="113"/>
  <c r="F72" i="113"/>
  <c r="J72" i="113"/>
  <c r="P46" i="114"/>
  <c r="Q46" i="114" s="1"/>
  <c r="AI46" i="114" s="1"/>
  <c r="R47" i="114" s="1"/>
  <c r="AI126" i="114"/>
  <c r="N59" i="114"/>
  <c r="AE59" i="114" s="1"/>
  <c r="N44" i="114"/>
  <c r="AE44" i="114" s="1"/>
  <c r="N79" i="114"/>
  <c r="AE79" i="114" s="1"/>
  <c r="AI121" i="114"/>
  <c r="P56" i="114"/>
  <c r="Q56" i="114" s="1"/>
  <c r="AI56" i="114" s="1"/>
  <c r="P41" i="114"/>
  <c r="Q41" i="114" s="1"/>
  <c r="AI41" i="114" s="1"/>
  <c r="P91" i="114"/>
  <c r="Q91" i="114" s="1"/>
  <c r="AI91" i="114" s="1"/>
  <c r="AI106" i="114"/>
  <c r="AI116" i="114"/>
  <c r="O94" i="114"/>
  <c r="AF94" i="114" s="1"/>
  <c r="N49" i="114"/>
  <c r="AE49" i="114" s="1"/>
  <c r="P76" i="114"/>
  <c r="N109" i="114"/>
  <c r="AE109" i="114" s="1"/>
  <c r="AF119" i="114"/>
  <c r="AH121" i="114"/>
  <c r="W124" i="114"/>
  <c r="G124" i="114"/>
  <c r="K49" i="114"/>
  <c r="O49" i="114"/>
  <c r="O44" i="114"/>
  <c r="W74" i="114"/>
  <c r="F84" i="114"/>
  <c r="F94" i="114"/>
  <c r="J94" i="114"/>
  <c r="N94" i="114"/>
  <c r="F109" i="114"/>
  <c r="J109" i="114"/>
  <c r="G129" i="114"/>
  <c r="AI131" i="114"/>
  <c r="K59" i="114"/>
  <c r="O59" i="114"/>
  <c r="F49" i="114"/>
  <c r="J49" i="114"/>
  <c r="F44" i="114"/>
  <c r="J44" i="114"/>
  <c r="F119" i="114"/>
  <c r="J119" i="114"/>
  <c r="F59" i="114"/>
  <c r="J59" i="114"/>
  <c r="K79" i="114"/>
  <c r="O79" i="114"/>
  <c r="F19" i="114"/>
  <c r="F34" i="114"/>
  <c r="F79" i="114"/>
  <c r="J79" i="114"/>
  <c r="K94" i="114"/>
  <c r="O62" i="113"/>
  <c r="AF62" i="113" s="1"/>
  <c r="N37" i="113"/>
  <c r="AE37" i="113" s="1"/>
  <c r="P34" i="113"/>
  <c r="P19" i="113"/>
  <c r="Q19" i="113" s="1"/>
  <c r="AI19" i="113" s="1"/>
  <c r="P59" i="113"/>
  <c r="N22" i="113"/>
  <c r="AE22" i="113" s="1"/>
  <c r="K22" i="113"/>
  <c r="O22" i="113"/>
  <c r="F62" i="113"/>
  <c r="J62" i="113"/>
  <c r="N62" i="113"/>
  <c r="K37" i="113"/>
  <c r="O37" i="113"/>
  <c r="F22" i="113"/>
  <c r="J22" i="113"/>
  <c r="F42" i="113"/>
  <c r="F37" i="113"/>
  <c r="J37" i="113"/>
  <c r="F57" i="113"/>
  <c r="K62" i="113"/>
  <c r="T100" i="112"/>
  <c r="S100" i="112"/>
  <c r="AB99" i="112"/>
  <c r="AA99" i="112"/>
  <c r="T99" i="112"/>
  <c r="S99" i="112"/>
  <c r="T98" i="112"/>
  <c r="S98" i="112"/>
  <c r="T97" i="112"/>
  <c r="S97" i="112"/>
  <c r="T96" i="112"/>
  <c r="S96" i="112"/>
  <c r="D24" i="51"/>
  <c r="E24" i="51"/>
  <c r="F24" i="51"/>
  <c r="G24" i="51"/>
  <c r="H24" i="51"/>
  <c r="O98" i="112" l="1"/>
  <c r="O98" i="114"/>
  <c r="O96" i="112"/>
  <c r="O96" i="114"/>
  <c r="F69" i="114"/>
  <c r="G69" i="114" s="1"/>
  <c r="O99" i="114"/>
  <c r="AF99" i="114" s="1"/>
  <c r="N69" i="114"/>
  <c r="AE69" i="114" s="1"/>
  <c r="F114" i="114"/>
  <c r="W114" i="114" s="1"/>
  <c r="N29" i="114"/>
  <c r="AE29" i="114" s="1"/>
  <c r="O47" i="113"/>
  <c r="AF47" i="113" s="1"/>
  <c r="F29" i="114"/>
  <c r="W29" i="114" s="1"/>
  <c r="K114" i="114"/>
  <c r="AB114" i="114" s="1"/>
  <c r="F47" i="113"/>
  <c r="G47" i="113" s="1"/>
  <c r="J29" i="114"/>
  <c r="AA29" i="114" s="1"/>
  <c r="K29" i="114"/>
  <c r="AB29" i="114" s="1"/>
  <c r="N47" i="113"/>
  <c r="AE47" i="113" s="1"/>
  <c r="J47" i="113"/>
  <c r="AA47" i="113" s="1"/>
  <c r="K47" i="113"/>
  <c r="O29" i="114"/>
  <c r="AF29" i="114" s="1"/>
  <c r="F99" i="114"/>
  <c r="W99" i="114" s="1"/>
  <c r="J69" i="114"/>
  <c r="AA69" i="114" s="1"/>
  <c r="K69" i="114"/>
  <c r="P66" i="114"/>
  <c r="Q66" i="114" s="1"/>
  <c r="AI66" i="114" s="1"/>
  <c r="P96" i="114"/>
  <c r="Q96" i="114" s="1"/>
  <c r="AI96" i="114" s="1"/>
  <c r="R97" i="114" s="1"/>
  <c r="G55" i="113"/>
  <c r="G87" i="114"/>
  <c r="AH69" i="113"/>
  <c r="G114" i="114"/>
  <c r="X114" i="114" s="1"/>
  <c r="AH41" i="114"/>
  <c r="R42" i="114" s="1"/>
  <c r="AH26" i="114"/>
  <c r="R26" i="114" s="1"/>
  <c r="AB72" i="113"/>
  <c r="AF72" i="113"/>
  <c r="W72" i="113"/>
  <c r="G72" i="113"/>
  <c r="AA72" i="113"/>
  <c r="R46" i="114"/>
  <c r="AH126" i="114"/>
  <c r="AH116" i="114"/>
  <c r="AH91" i="114"/>
  <c r="Q44" i="113"/>
  <c r="AI44" i="113" s="1"/>
  <c r="R44" i="113" s="1"/>
  <c r="AH106" i="114"/>
  <c r="Q76" i="114"/>
  <c r="AI76" i="114" s="1"/>
  <c r="AH76" i="114"/>
  <c r="AF79" i="114"/>
  <c r="AA79" i="114"/>
  <c r="W34" i="114"/>
  <c r="W19" i="114"/>
  <c r="W69" i="114"/>
  <c r="W59" i="114"/>
  <c r="G59" i="114"/>
  <c r="AF69" i="114"/>
  <c r="AF59" i="114"/>
  <c r="AF109" i="114"/>
  <c r="AF49" i="114"/>
  <c r="AB94" i="114"/>
  <c r="W89" i="114"/>
  <c r="G89" i="114"/>
  <c r="AA59" i="114"/>
  <c r="W44" i="114"/>
  <c r="G44" i="114"/>
  <c r="W49" i="114"/>
  <c r="G49" i="114"/>
  <c r="W94" i="114"/>
  <c r="G94" i="114"/>
  <c r="AB44" i="114"/>
  <c r="AB79" i="114"/>
  <c r="W119" i="114"/>
  <c r="G119" i="114"/>
  <c r="AA44" i="114"/>
  <c r="AA49" i="114"/>
  <c r="H129" i="114"/>
  <c r="X129" i="114"/>
  <c r="G109" i="114"/>
  <c r="W109" i="114"/>
  <c r="AA94" i="114"/>
  <c r="W84" i="114"/>
  <c r="AF44" i="114"/>
  <c r="W79" i="114"/>
  <c r="G79" i="114"/>
  <c r="AA119" i="114"/>
  <c r="AB59" i="114"/>
  <c r="AA109" i="114"/>
  <c r="AE94" i="114"/>
  <c r="AB49" i="114"/>
  <c r="X124" i="114"/>
  <c r="H124" i="114"/>
  <c r="Q59" i="113"/>
  <c r="AI59" i="113" s="1"/>
  <c r="AH59" i="113"/>
  <c r="AH19" i="113"/>
  <c r="Q34" i="113"/>
  <c r="AI34" i="113" s="1"/>
  <c r="AH34" i="113"/>
  <c r="W37" i="113"/>
  <c r="G37" i="113"/>
  <c r="W42" i="113"/>
  <c r="AB37" i="113"/>
  <c r="AE62" i="113"/>
  <c r="AF22" i="113"/>
  <c r="AB47" i="113"/>
  <c r="AA22" i="113"/>
  <c r="AA62" i="113"/>
  <c r="AB22" i="113"/>
  <c r="AB62" i="113"/>
  <c r="W57" i="113"/>
  <c r="G57" i="113"/>
  <c r="AA37" i="113"/>
  <c r="AF37" i="113"/>
  <c r="W22" i="113"/>
  <c r="G22" i="113"/>
  <c r="W62" i="113"/>
  <c r="G62" i="113"/>
  <c r="W52" i="113"/>
  <c r="D31" i="51"/>
  <c r="E31" i="51"/>
  <c r="F31" i="51"/>
  <c r="G31" i="51"/>
  <c r="H31" i="51"/>
  <c r="D32" i="51"/>
  <c r="E32" i="51"/>
  <c r="F32" i="51"/>
  <c r="G32" i="51"/>
  <c r="H32" i="51"/>
  <c r="D33" i="51"/>
  <c r="E33" i="51"/>
  <c r="F33" i="51"/>
  <c r="G33" i="51"/>
  <c r="H33" i="51"/>
  <c r="D34" i="51"/>
  <c r="E34" i="51"/>
  <c r="F34" i="51"/>
  <c r="G34" i="51"/>
  <c r="H34" i="51"/>
  <c r="D35" i="51"/>
  <c r="E35" i="51"/>
  <c r="F35" i="51"/>
  <c r="G35" i="51"/>
  <c r="H35" i="51"/>
  <c r="O56" i="113" l="1"/>
  <c r="O88" i="114"/>
  <c r="O71" i="114"/>
  <c r="O39" i="113"/>
  <c r="O59" i="113"/>
  <c r="O91" i="114"/>
  <c r="O103" i="114"/>
  <c r="O66" i="113"/>
  <c r="O86" i="114"/>
  <c r="O54" i="113"/>
  <c r="O101" i="114"/>
  <c r="O64" i="113"/>
  <c r="O61" i="113"/>
  <c r="O93" i="114"/>
  <c r="O73" i="114"/>
  <c r="O41" i="113"/>
  <c r="AB69" i="114"/>
  <c r="W47" i="113"/>
  <c r="R96" i="114"/>
  <c r="G99" i="114"/>
  <c r="X99" i="114" s="1"/>
  <c r="G29" i="114"/>
  <c r="H29" i="114" s="1"/>
  <c r="AH66" i="114"/>
  <c r="R67" i="114" s="1"/>
  <c r="R41" i="114"/>
  <c r="H114" i="114"/>
  <c r="Y114" i="114" s="1"/>
  <c r="R45" i="113"/>
  <c r="R27" i="114"/>
  <c r="N30" i="114"/>
  <c r="N73" i="113"/>
  <c r="O38" i="113"/>
  <c r="J73" i="113"/>
  <c r="K73" i="113"/>
  <c r="F73" i="113"/>
  <c r="X72" i="113"/>
  <c r="J115" i="114"/>
  <c r="O45" i="114"/>
  <c r="O100" i="114"/>
  <c r="O95" i="114"/>
  <c r="O70" i="114"/>
  <c r="O50" i="114"/>
  <c r="O80" i="114"/>
  <c r="O60" i="114"/>
  <c r="K115" i="114"/>
  <c r="K60" i="114"/>
  <c r="R91" i="114"/>
  <c r="R92" i="114"/>
  <c r="F120" i="114"/>
  <c r="R76" i="114"/>
  <c r="K70" i="114"/>
  <c r="J50" i="114"/>
  <c r="K50" i="114"/>
  <c r="J60" i="114"/>
  <c r="R77" i="114"/>
  <c r="R57" i="114"/>
  <c r="R56" i="114"/>
  <c r="F50" i="114"/>
  <c r="F110" i="114"/>
  <c r="X79" i="114"/>
  <c r="H79" i="114"/>
  <c r="N45" i="114"/>
  <c r="N100" i="114"/>
  <c r="N50" i="114"/>
  <c r="N110" i="114"/>
  <c r="F130" i="114"/>
  <c r="F125" i="114"/>
  <c r="F115" i="114"/>
  <c r="N95" i="114"/>
  <c r="J120" i="114"/>
  <c r="O30" i="114"/>
  <c r="J45" i="114"/>
  <c r="F45" i="114"/>
  <c r="F60" i="114"/>
  <c r="J80" i="114"/>
  <c r="N80" i="114"/>
  <c r="Y124" i="114"/>
  <c r="Y129" i="114"/>
  <c r="X109" i="114"/>
  <c r="X94" i="114"/>
  <c r="H94" i="114"/>
  <c r="H49" i="114"/>
  <c r="X49" i="114"/>
  <c r="J110" i="114"/>
  <c r="F80" i="114"/>
  <c r="J95" i="114"/>
  <c r="N60" i="114"/>
  <c r="K45" i="114"/>
  <c r="J30" i="114"/>
  <c r="J70" i="114"/>
  <c r="K95" i="114"/>
  <c r="N70" i="114"/>
  <c r="F30" i="114"/>
  <c r="X44" i="114"/>
  <c r="H44" i="114"/>
  <c r="X59" i="114"/>
  <c r="H59" i="114"/>
  <c r="X69" i="114"/>
  <c r="H69" i="114"/>
  <c r="K80" i="114"/>
  <c r="F95" i="114"/>
  <c r="K30" i="114"/>
  <c r="H119" i="114"/>
  <c r="X119" i="114"/>
  <c r="X89" i="114"/>
  <c r="F100" i="114"/>
  <c r="F70" i="114"/>
  <c r="N23" i="113"/>
  <c r="K48" i="113"/>
  <c r="R60" i="113"/>
  <c r="R59" i="113"/>
  <c r="R20" i="113"/>
  <c r="R19" i="113"/>
  <c r="R34" i="113"/>
  <c r="R35" i="113"/>
  <c r="X22" i="113"/>
  <c r="H22" i="113"/>
  <c r="F38" i="113"/>
  <c r="J63" i="113"/>
  <c r="K38" i="113"/>
  <c r="F63" i="113"/>
  <c r="N48" i="113"/>
  <c r="J38" i="113"/>
  <c r="N38" i="113"/>
  <c r="O23" i="113"/>
  <c r="N63" i="113"/>
  <c r="O63" i="113"/>
  <c r="X62" i="113"/>
  <c r="H62" i="113"/>
  <c r="X57" i="113"/>
  <c r="X47" i="113"/>
  <c r="H47" i="113"/>
  <c r="X37" i="113"/>
  <c r="H37" i="113"/>
  <c r="K23" i="113"/>
  <c r="F48" i="113"/>
  <c r="F23" i="113"/>
  <c r="K63" i="113"/>
  <c r="J23" i="113"/>
  <c r="J48" i="113"/>
  <c r="O48" i="113"/>
  <c r="F28" i="53"/>
  <c r="E28" i="53"/>
  <c r="D28" i="53"/>
  <c r="G33" i="53"/>
  <c r="K56" i="114" s="1"/>
  <c r="H33" i="53"/>
  <c r="K57" i="114" s="1"/>
  <c r="I33" i="53"/>
  <c r="K58" i="114" s="1"/>
  <c r="F33" i="53"/>
  <c r="E33" i="53"/>
  <c r="D33" i="53"/>
  <c r="D28" i="50"/>
  <c r="E28" i="50"/>
  <c r="F28" i="50"/>
  <c r="G28" i="50"/>
  <c r="H28" i="50"/>
  <c r="I28" i="50"/>
  <c r="P28" i="50"/>
  <c r="K28" i="50" s="1"/>
  <c r="D29" i="50"/>
  <c r="E29" i="50"/>
  <c r="F29" i="50"/>
  <c r="G29" i="50"/>
  <c r="H29" i="50"/>
  <c r="I29" i="50"/>
  <c r="P29" i="50"/>
  <c r="J29" i="50" s="1"/>
  <c r="N56" i="114" s="1"/>
  <c r="D30" i="50"/>
  <c r="E30" i="50"/>
  <c r="F30" i="50"/>
  <c r="G30" i="50"/>
  <c r="H30" i="50"/>
  <c r="I30" i="50"/>
  <c r="P30" i="50"/>
  <c r="J30" i="50" s="1"/>
  <c r="D31" i="50"/>
  <c r="E31" i="50"/>
  <c r="F31" i="50"/>
  <c r="G31" i="50"/>
  <c r="H31" i="50"/>
  <c r="I31" i="50"/>
  <c r="P31" i="50"/>
  <c r="K31" i="50" s="1"/>
  <c r="D32" i="50"/>
  <c r="E32" i="50"/>
  <c r="F32" i="50"/>
  <c r="G32" i="50"/>
  <c r="H32" i="50"/>
  <c r="I32" i="50"/>
  <c r="P32" i="50"/>
  <c r="J32" i="50" s="1"/>
  <c r="D33" i="50"/>
  <c r="E33" i="50"/>
  <c r="F33" i="50"/>
  <c r="G33" i="50"/>
  <c r="H33" i="50"/>
  <c r="I33" i="50"/>
  <c r="P33" i="50"/>
  <c r="J33" i="50" s="1"/>
  <c r="D34" i="50"/>
  <c r="E34" i="50"/>
  <c r="F34" i="50"/>
  <c r="G34" i="50"/>
  <c r="H34" i="50"/>
  <c r="I34" i="50"/>
  <c r="P34" i="50"/>
  <c r="K34" i="50" s="1"/>
  <c r="D35" i="50"/>
  <c r="E35" i="50"/>
  <c r="F35" i="50"/>
  <c r="G35" i="50"/>
  <c r="H35" i="50"/>
  <c r="I35" i="50"/>
  <c r="P35" i="50"/>
  <c r="J35" i="50" s="1"/>
  <c r="D36" i="50"/>
  <c r="E36" i="50"/>
  <c r="F36" i="50"/>
  <c r="G36" i="50"/>
  <c r="H36" i="50"/>
  <c r="I36" i="50"/>
  <c r="P36" i="50"/>
  <c r="J36" i="50" s="1"/>
  <c r="D37" i="50"/>
  <c r="E37" i="50"/>
  <c r="F37" i="50"/>
  <c r="G37" i="50"/>
  <c r="H37" i="50"/>
  <c r="I37" i="50"/>
  <c r="P37" i="50"/>
  <c r="J37" i="50" s="1"/>
  <c r="D38" i="50"/>
  <c r="E38" i="50"/>
  <c r="F38" i="50"/>
  <c r="G38" i="50"/>
  <c r="H38" i="50"/>
  <c r="I38" i="50"/>
  <c r="P38" i="50"/>
  <c r="K38" i="50" s="1"/>
  <c r="D27" i="56"/>
  <c r="E27" i="56"/>
  <c r="F27" i="56"/>
  <c r="AE27" i="56"/>
  <c r="AF27" i="56"/>
  <c r="D28" i="56"/>
  <c r="E28" i="56"/>
  <c r="F28" i="56"/>
  <c r="AE28" i="56"/>
  <c r="AF28" i="56"/>
  <c r="D29" i="56"/>
  <c r="E29" i="56"/>
  <c r="F29" i="56"/>
  <c r="AE29" i="56"/>
  <c r="AF29" i="56"/>
  <c r="D30" i="56"/>
  <c r="E30" i="56"/>
  <c r="F30" i="56"/>
  <c r="AE30" i="56"/>
  <c r="M56" i="114" s="1"/>
  <c r="AF30" i="56"/>
  <c r="M58" i="114" s="1"/>
  <c r="D31" i="56"/>
  <c r="E31" i="56"/>
  <c r="F31" i="56"/>
  <c r="AE31" i="56"/>
  <c r="AF31" i="56"/>
  <c r="D32" i="56"/>
  <c r="E32" i="56"/>
  <c r="F32" i="56"/>
  <c r="AE32" i="56"/>
  <c r="AF32" i="56"/>
  <c r="D33" i="56"/>
  <c r="E33" i="56"/>
  <c r="F33" i="56"/>
  <c r="AE33" i="56"/>
  <c r="AF33" i="56"/>
  <c r="D34" i="56"/>
  <c r="E34" i="56"/>
  <c r="F34" i="56"/>
  <c r="AE34" i="56"/>
  <c r="AF34" i="56"/>
  <c r="D35" i="56"/>
  <c r="E35" i="56"/>
  <c r="F35" i="56"/>
  <c r="AE35" i="56"/>
  <c r="AF35" i="56"/>
  <c r="D36" i="56"/>
  <c r="E36" i="56"/>
  <c r="F36" i="56"/>
  <c r="AE36" i="56"/>
  <c r="AF36" i="56"/>
  <c r="D37" i="56"/>
  <c r="E37" i="56"/>
  <c r="F37" i="56"/>
  <c r="AE37" i="56"/>
  <c r="AF37" i="56"/>
  <c r="D38" i="56"/>
  <c r="E38" i="56"/>
  <c r="F38" i="56"/>
  <c r="AE38" i="56"/>
  <c r="AF38" i="56"/>
  <c r="D28" i="55"/>
  <c r="E28" i="55"/>
  <c r="F28" i="55"/>
  <c r="G28" i="55"/>
  <c r="H28" i="55"/>
  <c r="I28" i="55"/>
  <c r="J28" i="55"/>
  <c r="P28" i="55"/>
  <c r="K28" i="55" s="1"/>
  <c r="D29" i="55"/>
  <c r="E29" i="55"/>
  <c r="F29" i="55"/>
  <c r="G29" i="55"/>
  <c r="H29" i="55"/>
  <c r="I29" i="55"/>
  <c r="J29" i="55"/>
  <c r="P29" i="55"/>
  <c r="K29" i="55" s="1"/>
  <c r="D30" i="55"/>
  <c r="E30" i="55"/>
  <c r="F30" i="55"/>
  <c r="G30" i="55"/>
  <c r="H30" i="55"/>
  <c r="I30" i="55"/>
  <c r="J30" i="55"/>
  <c r="P30" i="55"/>
  <c r="K30" i="55" s="1"/>
  <c r="D31" i="55"/>
  <c r="E31" i="55"/>
  <c r="F31" i="55"/>
  <c r="G31" i="55"/>
  <c r="H31" i="55"/>
  <c r="I31" i="55"/>
  <c r="J31" i="55"/>
  <c r="P31" i="55"/>
  <c r="K31" i="55" s="1"/>
  <c r="D32" i="55"/>
  <c r="E32" i="55"/>
  <c r="F32" i="55"/>
  <c r="G32" i="55"/>
  <c r="H32" i="55"/>
  <c r="I32" i="55"/>
  <c r="J32" i="55"/>
  <c r="L56" i="114" s="1"/>
  <c r="P32" i="55"/>
  <c r="K32" i="55" s="1"/>
  <c r="D33" i="55"/>
  <c r="E33" i="55"/>
  <c r="F33" i="55"/>
  <c r="G33" i="55"/>
  <c r="H33" i="55"/>
  <c r="I33" i="55"/>
  <c r="J33" i="55"/>
  <c r="P33" i="55"/>
  <c r="K33" i="55" s="1"/>
  <c r="D34" i="55"/>
  <c r="E34" i="55"/>
  <c r="F34" i="55"/>
  <c r="G34" i="55"/>
  <c r="H34" i="55"/>
  <c r="I34" i="55"/>
  <c r="J34" i="55"/>
  <c r="P34" i="55"/>
  <c r="K34" i="55" s="1"/>
  <c r="D35" i="55"/>
  <c r="E35" i="55"/>
  <c r="F35" i="55"/>
  <c r="G35" i="55"/>
  <c r="H35" i="55"/>
  <c r="I35" i="55"/>
  <c r="J35" i="55"/>
  <c r="P35" i="55"/>
  <c r="K35" i="55" s="1"/>
  <c r="D36" i="55"/>
  <c r="E36" i="55"/>
  <c r="F36" i="55"/>
  <c r="G36" i="55"/>
  <c r="H36" i="55"/>
  <c r="I36" i="55"/>
  <c r="J36" i="55"/>
  <c r="P36" i="55"/>
  <c r="K36" i="55" s="1"/>
  <c r="D37" i="55"/>
  <c r="E37" i="55"/>
  <c r="F37" i="55"/>
  <c r="G37" i="55"/>
  <c r="H37" i="55"/>
  <c r="I37" i="55"/>
  <c r="J37" i="55"/>
  <c r="P37" i="55"/>
  <c r="K37" i="55" s="1"/>
  <c r="D38" i="55"/>
  <c r="E38" i="55"/>
  <c r="F38" i="55"/>
  <c r="G38" i="55"/>
  <c r="H38" i="55"/>
  <c r="I38" i="55"/>
  <c r="J38" i="55"/>
  <c r="P38" i="55"/>
  <c r="K38" i="55" s="1"/>
  <c r="D48" i="46"/>
  <c r="E48" i="46"/>
  <c r="F48" i="46"/>
  <c r="G48" i="46"/>
  <c r="H48" i="46"/>
  <c r="I73" i="112"/>
  <c r="I66" i="112"/>
  <c r="I68" i="112"/>
  <c r="I121" i="114"/>
  <c r="I123" i="114"/>
  <c r="I124" i="114" s="1"/>
  <c r="I118" i="114"/>
  <c r="G57" i="112"/>
  <c r="G122" i="112"/>
  <c r="G41" i="112"/>
  <c r="G31" i="114"/>
  <c r="G117" i="112"/>
  <c r="G93" i="112"/>
  <c r="G68" i="112"/>
  <c r="H16" i="114"/>
  <c r="H18" i="114"/>
  <c r="H58" i="112"/>
  <c r="H93" i="112"/>
  <c r="S75" i="112"/>
  <c r="S74" i="112"/>
  <c r="C74" i="112"/>
  <c r="S73" i="112"/>
  <c r="O73" i="112"/>
  <c r="M73" i="112"/>
  <c r="C73" i="112"/>
  <c r="S72" i="112"/>
  <c r="D72" i="112"/>
  <c r="C72" i="112"/>
  <c r="S71" i="112"/>
  <c r="O71" i="112"/>
  <c r="N71" i="112"/>
  <c r="M71" i="112"/>
  <c r="I71" i="112"/>
  <c r="D71" i="112"/>
  <c r="C71" i="112"/>
  <c r="S40" i="112"/>
  <c r="S39" i="112"/>
  <c r="C39" i="112"/>
  <c r="S38" i="112"/>
  <c r="N38" i="112"/>
  <c r="M38" i="112"/>
  <c r="J38" i="112"/>
  <c r="C38" i="112"/>
  <c r="S37" i="112"/>
  <c r="D37" i="112"/>
  <c r="C37" i="112"/>
  <c r="S36" i="112"/>
  <c r="J36" i="112"/>
  <c r="D36" i="112"/>
  <c r="C36" i="112"/>
  <c r="S95" i="112"/>
  <c r="S94" i="112"/>
  <c r="C94" i="112"/>
  <c r="S93" i="112"/>
  <c r="O93" i="112"/>
  <c r="M93" i="112"/>
  <c r="L93" i="112"/>
  <c r="I93" i="112"/>
  <c r="C93" i="112"/>
  <c r="S92" i="112"/>
  <c r="D92" i="112"/>
  <c r="C92" i="112"/>
  <c r="S91" i="112"/>
  <c r="O91" i="112"/>
  <c r="N91" i="112"/>
  <c r="I91" i="112"/>
  <c r="H91" i="112"/>
  <c r="G91" i="112"/>
  <c r="D91" i="112"/>
  <c r="C91" i="112"/>
  <c r="S90" i="112"/>
  <c r="S89" i="112"/>
  <c r="C89" i="112"/>
  <c r="S88" i="112"/>
  <c r="L88" i="112"/>
  <c r="I88" i="112"/>
  <c r="H88" i="112"/>
  <c r="C88" i="112"/>
  <c r="S87" i="112"/>
  <c r="D87" i="112"/>
  <c r="C87" i="112"/>
  <c r="S86" i="112"/>
  <c r="L86" i="112"/>
  <c r="I86" i="112"/>
  <c r="H86" i="112"/>
  <c r="G86" i="112"/>
  <c r="D86" i="112"/>
  <c r="C86" i="112"/>
  <c r="S65" i="112"/>
  <c r="S64" i="112"/>
  <c r="C64" i="112"/>
  <c r="S63" i="112"/>
  <c r="M63" i="112"/>
  <c r="C63" i="112"/>
  <c r="S62" i="112"/>
  <c r="D62" i="112"/>
  <c r="C62" i="112"/>
  <c r="S61" i="112"/>
  <c r="N61" i="112"/>
  <c r="M61" i="112"/>
  <c r="D61" i="112"/>
  <c r="C61" i="112"/>
  <c r="S125" i="112"/>
  <c r="S124" i="112"/>
  <c r="C124" i="112"/>
  <c r="S123" i="112"/>
  <c r="H123" i="112"/>
  <c r="C123" i="112"/>
  <c r="S122" i="112"/>
  <c r="D122" i="112"/>
  <c r="C122" i="112"/>
  <c r="S121" i="112"/>
  <c r="H121" i="112"/>
  <c r="G121" i="112"/>
  <c r="D121" i="112"/>
  <c r="C121" i="112"/>
  <c r="S70" i="112"/>
  <c r="S69" i="112"/>
  <c r="C69" i="112"/>
  <c r="S68" i="112"/>
  <c r="N68" i="112"/>
  <c r="L68" i="112"/>
  <c r="H68" i="112"/>
  <c r="C68" i="112"/>
  <c r="S67" i="112"/>
  <c r="D67" i="112"/>
  <c r="C67" i="112"/>
  <c r="S66" i="112"/>
  <c r="M66" i="112"/>
  <c r="L66" i="112"/>
  <c r="H66" i="112"/>
  <c r="G66" i="112"/>
  <c r="D66" i="112"/>
  <c r="C66" i="112"/>
  <c r="S60" i="112"/>
  <c r="S59" i="112"/>
  <c r="C59" i="112"/>
  <c r="S58" i="112"/>
  <c r="M58" i="112"/>
  <c r="G58" i="112"/>
  <c r="C58" i="112"/>
  <c r="S57" i="112"/>
  <c r="D57" i="112"/>
  <c r="C57" i="112"/>
  <c r="S56" i="112"/>
  <c r="N56" i="112"/>
  <c r="M56" i="112"/>
  <c r="L56" i="112"/>
  <c r="I56" i="112"/>
  <c r="H56" i="112"/>
  <c r="G56" i="112"/>
  <c r="D56" i="112"/>
  <c r="C56" i="112"/>
  <c r="S45" i="112"/>
  <c r="S44" i="112"/>
  <c r="C44" i="112"/>
  <c r="S43" i="112"/>
  <c r="M43" i="112"/>
  <c r="K43" i="112"/>
  <c r="H43" i="112"/>
  <c r="G43" i="112"/>
  <c r="C43" i="112"/>
  <c r="S42" i="112"/>
  <c r="K42" i="112"/>
  <c r="D42" i="112"/>
  <c r="C42" i="112"/>
  <c r="S41" i="112"/>
  <c r="N41" i="112"/>
  <c r="M41" i="112"/>
  <c r="L41" i="112"/>
  <c r="K41" i="112"/>
  <c r="H41" i="112"/>
  <c r="D41" i="112"/>
  <c r="C41" i="112"/>
  <c r="S120" i="112"/>
  <c r="S119" i="112"/>
  <c r="C119" i="112"/>
  <c r="S118" i="112"/>
  <c r="I118" i="112"/>
  <c r="H118" i="112"/>
  <c r="C118" i="112"/>
  <c r="S117" i="112"/>
  <c r="D117" i="112"/>
  <c r="C117" i="112"/>
  <c r="S116" i="112"/>
  <c r="H116" i="112"/>
  <c r="G116" i="112"/>
  <c r="D116" i="112"/>
  <c r="C116" i="112"/>
  <c r="S80" i="112"/>
  <c r="S79" i="112"/>
  <c r="C79" i="112"/>
  <c r="S78" i="112"/>
  <c r="M78" i="112"/>
  <c r="C78" i="112"/>
  <c r="S77" i="112"/>
  <c r="D77" i="112"/>
  <c r="C77" i="112"/>
  <c r="S76" i="112"/>
  <c r="N76" i="112"/>
  <c r="M76" i="112"/>
  <c r="L76" i="112"/>
  <c r="C76" i="112"/>
  <c r="S105" i="112"/>
  <c r="S104" i="112"/>
  <c r="C104" i="112"/>
  <c r="S103" i="112"/>
  <c r="O103" i="112"/>
  <c r="M103" i="112"/>
  <c r="I103" i="112"/>
  <c r="H103" i="112"/>
  <c r="C103" i="112"/>
  <c r="S102" i="112"/>
  <c r="D102" i="112"/>
  <c r="C102" i="112"/>
  <c r="S101" i="112"/>
  <c r="O101" i="112"/>
  <c r="L101" i="112"/>
  <c r="I101" i="112"/>
  <c r="H101" i="112"/>
  <c r="G101" i="112"/>
  <c r="D101" i="112"/>
  <c r="C101" i="112"/>
  <c r="S135" i="112"/>
  <c r="S134" i="112"/>
  <c r="C134" i="112"/>
  <c r="S133" i="112"/>
  <c r="C133" i="112"/>
  <c r="S132" i="112"/>
  <c r="D132" i="112"/>
  <c r="C132" i="112"/>
  <c r="S131" i="112"/>
  <c r="D131" i="112"/>
  <c r="C131" i="112"/>
  <c r="S130" i="112"/>
  <c r="C130" i="112"/>
  <c r="S129" i="112"/>
  <c r="C129" i="112"/>
  <c r="S128" i="112"/>
  <c r="F128" i="112"/>
  <c r="C128" i="112"/>
  <c r="S127" i="112"/>
  <c r="F127" i="112"/>
  <c r="D127" i="112"/>
  <c r="C127" i="112"/>
  <c r="S126" i="112"/>
  <c r="F126" i="112"/>
  <c r="D126" i="112"/>
  <c r="C126" i="112"/>
  <c r="S20" i="112"/>
  <c r="S19" i="112"/>
  <c r="C19" i="112"/>
  <c r="S18" i="112"/>
  <c r="F18" i="112"/>
  <c r="C18" i="112"/>
  <c r="S17" i="112"/>
  <c r="F17" i="112"/>
  <c r="D17" i="112"/>
  <c r="C17" i="112"/>
  <c r="S16" i="112"/>
  <c r="F16" i="112"/>
  <c r="D16" i="112"/>
  <c r="C16" i="112"/>
  <c r="S115" i="112"/>
  <c r="S114" i="112"/>
  <c r="C114" i="112"/>
  <c r="S113" i="112"/>
  <c r="F113" i="112"/>
  <c r="C113" i="112"/>
  <c r="S112" i="112"/>
  <c r="F112" i="112"/>
  <c r="D112" i="112"/>
  <c r="C112" i="112"/>
  <c r="S111" i="112"/>
  <c r="F111" i="112"/>
  <c r="D111" i="112"/>
  <c r="C111" i="112"/>
  <c r="S110" i="112"/>
  <c r="S109" i="112"/>
  <c r="C109" i="112"/>
  <c r="S108" i="112"/>
  <c r="O108" i="112"/>
  <c r="F108" i="112"/>
  <c r="C108" i="112"/>
  <c r="S107" i="112"/>
  <c r="F107" i="112"/>
  <c r="D107" i="112"/>
  <c r="C107" i="112"/>
  <c r="S106" i="112"/>
  <c r="O106" i="112"/>
  <c r="F106" i="112"/>
  <c r="D106" i="112"/>
  <c r="C106" i="112"/>
  <c r="S35" i="112"/>
  <c r="S34" i="112"/>
  <c r="C34" i="112"/>
  <c r="S33" i="112"/>
  <c r="C33" i="112"/>
  <c r="S32" i="112"/>
  <c r="F32" i="112"/>
  <c r="D32" i="112"/>
  <c r="C32" i="112"/>
  <c r="S31" i="112"/>
  <c r="D31" i="112"/>
  <c r="C31" i="112"/>
  <c r="S50" i="112"/>
  <c r="S49" i="112"/>
  <c r="C49" i="112"/>
  <c r="S48" i="112"/>
  <c r="F48" i="112"/>
  <c r="C48" i="112"/>
  <c r="S47" i="112"/>
  <c r="F47" i="112"/>
  <c r="D47" i="112"/>
  <c r="C47" i="112"/>
  <c r="S46" i="112"/>
  <c r="F46" i="112"/>
  <c r="D46" i="112"/>
  <c r="C46" i="112"/>
  <c r="S85" i="112"/>
  <c r="S84" i="112"/>
  <c r="C84" i="112"/>
  <c r="S83" i="112"/>
  <c r="O83" i="112"/>
  <c r="F83" i="112"/>
  <c r="C83" i="112"/>
  <c r="S82" i="112"/>
  <c r="F82" i="112"/>
  <c r="D82" i="112"/>
  <c r="C82" i="112"/>
  <c r="S81" i="112"/>
  <c r="O81" i="112"/>
  <c r="F81" i="112"/>
  <c r="D81" i="112"/>
  <c r="C81" i="112"/>
  <c r="S25" i="112"/>
  <c r="S24" i="112"/>
  <c r="C24" i="112"/>
  <c r="S23" i="112"/>
  <c r="C23" i="112"/>
  <c r="S22" i="112"/>
  <c r="D22" i="112"/>
  <c r="C22" i="112"/>
  <c r="S21" i="112"/>
  <c r="D21" i="112"/>
  <c r="C21" i="112"/>
  <c r="C99" i="112"/>
  <c r="F98" i="112"/>
  <c r="C98" i="112"/>
  <c r="F97" i="112"/>
  <c r="D97" i="112"/>
  <c r="C97" i="112"/>
  <c r="F96" i="112"/>
  <c r="D96" i="112"/>
  <c r="C96" i="112"/>
  <c r="S55" i="112"/>
  <c r="S54" i="112"/>
  <c r="C54" i="112"/>
  <c r="S53" i="112"/>
  <c r="C53" i="112"/>
  <c r="S52" i="112"/>
  <c r="D52" i="112"/>
  <c r="C52" i="112"/>
  <c r="S51" i="112"/>
  <c r="D51" i="112"/>
  <c r="C51" i="112"/>
  <c r="S30" i="112"/>
  <c r="S29" i="112"/>
  <c r="C29" i="112"/>
  <c r="S28" i="112"/>
  <c r="F28" i="112"/>
  <c r="C28" i="112"/>
  <c r="S27" i="112"/>
  <c r="F27" i="112"/>
  <c r="D27" i="112"/>
  <c r="C27" i="112"/>
  <c r="S26" i="112"/>
  <c r="F26" i="112"/>
  <c r="D26" i="112"/>
  <c r="C26" i="112"/>
  <c r="Q12" i="112"/>
  <c r="L12" i="112"/>
  <c r="K12" i="112"/>
  <c r="A12" i="112"/>
  <c r="Q11" i="112"/>
  <c r="L11" i="112"/>
  <c r="K11" i="112"/>
  <c r="B11" i="112"/>
  <c r="A11" i="112"/>
  <c r="R10" i="112"/>
  <c r="Q10" i="112"/>
  <c r="L10" i="112"/>
  <c r="K10" i="112"/>
  <c r="B10" i="112"/>
  <c r="A10" i="112"/>
  <c r="R9" i="112"/>
  <c r="Q9" i="112"/>
  <c r="L9" i="112"/>
  <c r="K9" i="112"/>
  <c r="B9" i="112"/>
  <c r="A9" i="112"/>
  <c r="R8" i="112"/>
  <c r="Q8" i="112"/>
  <c r="L8" i="112"/>
  <c r="K8" i="112"/>
  <c r="A8" i="112"/>
  <c r="Q7" i="112"/>
  <c r="K7" i="112"/>
  <c r="A4" i="112"/>
  <c r="A3" i="112"/>
  <c r="A2" i="112"/>
  <c r="A1" i="112"/>
  <c r="A102" i="111"/>
  <c r="A101" i="111"/>
  <c r="A100" i="111"/>
  <c r="A99" i="111"/>
  <c r="A98" i="111"/>
  <c r="A97" i="111"/>
  <c r="A96" i="111"/>
  <c r="A95" i="111"/>
  <c r="A94" i="111"/>
  <c r="A93" i="111"/>
  <c r="A92" i="111"/>
  <c r="A91" i="111"/>
  <c r="A90" i="111"/>
  <c r="A89" i="111"/>
  <c r="A88" i="111"/>
  <c r="A87" i="111"/>
  <c r="A86" i="111"/>
  <c r="A85" i="111"/>
  <c r="A84" i="111"/>
  <c r="A83" i="111"/>
  <c r="A82" i="111"/>
  <c r="A81" i="111"/>
  <c r="A80" i="111"/>
  <c r="A79" i="111"/>
  <c r="A78" i="111"/>
  <c r="A77" i="111"/>
  <c r="A76" i="111"/>
  <c r="A75" i="111"/>
  <c r="A74" i="111"/>
  <c r="A73" i="111"/>
  <c r="A72" i="111"/>
  <c r="A71" i="111"/>
  <c r="I70" i="111"/>
  <c r="H70" i="111"/>
  <c r="G70" i="111"/>
  <c r="F70" i="111"/>
  <c r="E70" i="111"/>
  <c r="D70" i="111"/>
  <c r="A70" i="111"/>
  <c r="I69" i="111"/>
  <c r="H69" i="111"/>
  <c r="G69" i="111"/>
  <c r="F69" i="111"/>
  <c r="E69" i="111"/>
  <c r="D69" i="111"/>
  <c r="A69" i="111"/>
  <c r="I68" i="111"/>
  <c r="H68" i="111"/>
  <c r="G68" i="111"/>
  <c r="F68" i="111"/>
  <c r="E68" i="111"/>
  <c r="D68" i="111"/>
  <c r="A68" i="111"/>
  <c r="I67" i="111"/>
  <c r="H67" i="111"/>
  <c r="G67" i="111"/>
  <c r="F67" i="111"/>
  <c r="E67" i="111"/>
  <c r="D67" i="111"/>
  <c r="A67" i="111"/>
  <c r="I66" i="111"/>
  <c r="H66" i="111"/>
  <c r="G66" i="111"/>
  <c r="F66" i="111"/>
  <c r="E66" i="111"/>
  <c r="D66" i="111"/>
  <c r="A66" i="111"/>
  <c r="I65" i="111"/>
  <c r="H65" i="111"/>
  <c r="G65" i="111"/>
  <c r="F65" i="111"/>
  <c r="E65" i="111"/>
  <c r="D65" i="111"/>
  <c r="A65" i="111"/>
  <c r="I64" i="111"/>
  <c r="H64" i="111"/>
  <c r="G64" i="111"/>
  <c r="F64" i="111"/>
  <c r="E64" i="111"/>
  <c r="D64" i="111"/>
  <c r="A64" i="111"/>
  <c r="I63" i="111"/>
  <c r="H63" i="111"/>
  <c r="G63" i="111"/>
  <c r="F63" i="111"/>
  <c r="E63" i="111"/>
  <c r="D63" i="111"/>
  <c r="A63" i="111"/>
  <c r="I56" i="111"/>
  <c r="H56" i="111"/>
  <c r="G56" i="111"/>
  <c r="F56" i="111"/>
  <c r="E56" i="111"/>
  <c r="D56" i="111"/>
  <c r="A56" i="111"/>
  <c r="I55" i="111"/>
  <c r="H55" i="111"/>
  <c r="G55" i="111"/>
  <c r="F55" i="111"/>
  <c r="E55" i="111"/>
  <c r="D55" i="111"/>
  <c r="A55" i="111"/>
  <c r="I54" i="111"/>
  <c r="H54" i="111"/>
  <c r="G54" i="111"/>
  <c r="F54" i="111"/>
  <c r="E54" i="111"/>
  <c r="D54" i="111"/>
  <c r="A54" i="111"/>
  <c r="I53" i="111"/>
  <c r="H53" i="111"/>
  <c r="G53" i="111"/>
  <c r="F53" i="111"/>
  <c r="E53" i="111"/>
  <c r="D53" i="111"/>
  <c r="A53" i="111"/>
  <c r="I52" i="111"/>
  <c r="H52" i="111"/>
  <c r="G52" i="111"/>
  <c r="F52" i="111"/>
  <c r="E52" i="111"/>
  <c r="D52" i="111"/>
  <c r="A52" i="111"/>
  <c r="I51" i="111"/>
  <c r="H51" i="111"/>
  <c r="G51" i="111"/>
  <c r="F51" i="111"/>
  <c r="E51" i="111"/>
  <c r="D51" i="111"/>
  <c r="A51" i="111"/>
  <c r="I50" i="111"/>
  <c r="H50" i="111"/>
  <c r="G50" i="111"/>
  <c r="F50" i="111"/>
  <c r="E50" i="111"/>
  <c r="D50" i="111"/>
  <c r="A50" i="111"/>
  <c r="I49" i="111"/>
  <c r="H49" i="111"/>
  <c r="G49" i="111"/>
  <c r="F49" i="111"/>
  <c r="E49" i="111"/>
  <c r="D49" i="111"/>
  <c r="A49" i="111"/>
  <c r="I46" i="111"/>
  <c r="H46" i="111"/>
  <c r="G46" i="111"/>
  <c r="F46" i="111"/>
  <c r="E46" i="111"/>
  <c r="D46" i="111"/>
  <c r="A46" i="111"/>
  <c r="I45" i="111"/>
  <c r="H45" i="111"/>
  <c r="G45" i="111"/>
  <c r="F45" i="111"/>
  <c r="E45" i="111"/>
  <c r="D45" i="111"/>
  <c r="A45" i="111"/>
  <c r="I44" i="111"/>
  <c r="H44" i="111"/>
  <c r="G44" i="111"/>
  <c r="F44" i="111"/>
  <c r="E44" i="111"/>
  <c r="D44" i="111"/>
  <c r="A44" i="111"/>
  <c r="I43" i="111"/>
  <c r="H43" i="111"/>
  <c r="G43" i="111"/>
  <c r="F43" i="111"/>
  <c r="E43" i="111"/>
  <c r="D43" i="111"/>
  <c r="A43" i="111"/>
  <c r="I42" i="111"/>
  <c r="H42" i="111"/>
  <c r="G42" i="111"/>
  <c r="F42" i="111"/>
  <c r="E42" i="111"/>
  <c r="D42" i="111"/>
  <c r="A42" i="111"/>
  <c r="I41" i="111"/>
  <c r="H41" i="111"/>
  <c r="G41" i="111"/>
  <c r="F41" i="111"/>
  <c r="E41" i="111"/>
  <c r="D41" i="111"/>
  <c r="A41" i="111"/>
  <c r="I40" i="111"/>
  <c r="H40" i="111"/>
  <c r="G40" i="111"/>
  <c r="F40" i="111"/>
  <c r="E40" i="111"/>
  <c r="D40" i="111"/>
  <c r="A40" i="111"/>
  <c r="I39" i="111"/>
  <c r="H39" i="111"/>
  <c r="G39" i="111"/>
  <c r="F39" i="111"/>
  <c r="E39" i="111"/>
  <c r="D39" i="111"/>
  <c r="A39" i="111"/>
  <c r="I35" i="111"/>
  <c r="H35" i="111"/>
  <c r="G35" i="111"/>
  <c r="F35" i="111"/>
  <c r="E35" i="111"/>
  <c r="D35" i="111"/>
  <c r="A35" i="111"/>
  <c r="I34" i="111"/>
  <c r="H34" i="111"/>
  <c r="G34" i="111"/>
  <c r="F34" i="111"/>
  <c r="E34" i="111"/>
  <c r="D34" i="111"/>
  <c r="A34" i="111"/>
  <c r="I33" i="111"/>
  <c r="H33" i="111"/>
  <c r="G33" i="111"/>
  <c r="F33" i="111"/>
  <c r="E33" i="111"/>
  <c r="D33" i="111"/>
  <c r="A33" i="111"/>
  <c r="I32" i="111"/>
  <c r="H32" i="111"/>
  <c r="G32" i="111"/>
  <c r="F32" i="111"/>
  <c r="E32" i="111"/>
  <c r="D32" i="111"/>
  <c r="A32" i="111"/>
  <c r="I31" i="111"/>
  <c r="H31" i="111"/>
  <c r="G31" i="111"/>
  <c r="F31" i="111"/>
  <c r="E31" i="111"/>
  <c r="D31" i="111"/>
  <c r="A31" i="111"/>
  <c r="I30" i="111"/>
  <c r="H30" i="111"/>
  <c r="G30" i="111"/>
  <c r="F30" i="111"/>
  <c r="E30" i="111"/>
  <c r="D30" i="111"/>
  <c r="A30" i="111"/>
  <c r="I29" i="111"/>
  <c r="H29" i="111"/>
  <c r="G29" i="111"/>
  <c r="F29" i="111"/>
  <c r="E29" i="111"/>
  <c r="D29" i="111"/>
  <c r="A29" i="111"/>
  <c r="I28" i="111"/>
  <c r="H28" i="111"/>
  <c r="G28" i="111"/>
  <c r="F28" i="111"/>
  <c r="E28" i="111"/>
  <c r="D28" i="111"/>
  <c r="A28" i="111"/>
  <c r="I25" i="111"/>
  <c r="H25" i="111"/>
  <c r="G25" i="111"/>
  <c r="F25" i="111"/>
  <c r="E25" i="111"/>
  <c r="D25" i="111"/>
  <c r="A25" i="111"/>
  <c r="I24" i="111"/>
  <c r="H24" i="111"/>
  <c r="G24" i="111"/>
  <c r="F24" i="111"/>
  <c r="E24" i="111"/>
  <c r="D24" i="111"/>
  <c r="A24" i="111"/>
  <c r="I23" i="111"/>
  <c r="H23" i="111"/>
  <c r="G23" i="111"/>
  <c r="F23" i="111"/>
  <c r="E23" i="111"/>
  <c r="D23" i="111"/>
  <c r="A23" i="111"/>
  <c r="I22" i="111"/>
  <c r="H22" i="111"/>
  <c r="G22" i="111"/>
  <c r="F22" i="111"/>
  <c r="E22" i="111"/>
  <c r="D22" i="111"/>
  <c r="A22" i="111"/>
  <c r="I21" i="111"/>
  <c r="H21" i="111"/>
  <c r="G21" i="111"/>
  <c r="F21" i="111"/>
  <c r="E21" i="111"/>
  <c r="D21" i="111"/>
  <c r="A21" i="111"/>
  <c r="I20" i="111"/>
  <c r="H20" i="111"/>
  <c r="G20" i="111"/>
  <c r="F20" i="111"/>
  <c r="E20" i="111"/>
  <c r="D20" i="111"/>
  <c r="A20" i="111"/>
  <c r="I19" i="111"/>
  <c r="H19" i="111"/>
  <c r="G19" i="111"/>
  <c r="F19" i="111"/>
  <c r="E19" i="111"/>
  <c r="D19" i="111"/>
  <c r="A19" i="111"/>
  <c r="I18" i="111"/>
  <c r="H18" i="111"/>
  <c r="G18" i="111"/>
  <c r="F18" i="111"/>
  <c r="E18" i="111"/>
  <c r="D18" i="111"/>
  <c r="A18" i="111"/>
  <c r="H13" i="111"/>
  <c r="B13" i="111"/>
  <c r="H12" i="111"/>
  <c r="B12" i="111"/>
  <c r="B7" i="111"/>
  <c r="B5" i="111"/>
  <c r="B4" i="111"/>
  <c r="B3" i="111"/>
  <c r="B2" i="111"/>
  <c r="B1" i="111"/>
  <c r="AF44" i="110"/>
  <c r="AE44" i="110"/>
  <c r="F44" i="110"/>
  <c r="E44" i="110"/>
  <c r="D44" i="110"/>
  <c r="A44" i="110"/>
  <c r="AF43" i="110"/>
  <c r="AE43" i="110"/>
  <c r="F43" i="110"/>
  <c r="E43" i="110"/>
  <c r="D43" i="110"/>
  <c r="A43" i="110"/>
  <c r="AF42" i="110"/>
  <c r="AE42" i="110"/>
  <c r="F42" i="110"/>
  <c r="E42" i="110"/>
  <c r="D42" i="110"/>
  <c r="A42" i="110"/>
  <c r="AF41" i="110"/>
  <c r="AE41" i="110"/>
  <c r="F41" i="110"/>
  <c r="E41" i="110"/>
  <c r="D41" i="110"/>
  <c r="A41" i="110"/>
  <c r="AF40" i="110"/>
  <c r="AE40" i="110"/>
  <c r="F40" i="110"/>
  <c r="E40" i="110"/>
  <c r="D40" i="110"/>
  <c r="A40" i="110"/>
  <c r="AF39" i="110"/>
  <c r="AE39" i="110"/>
  <c r="F39" i="110"/>
  <c r="E39" i="110"/>
  <c r="D39" i="110"/>
  <c r="A39" i="110"/>
  <c r="AF38" i="110"/>
  <c r="AE38" i="110"/>
  <c r="F38" i="110"/>
  <c r="E38" i="110"/>
  <c r="D38" i="110"/>
  <c r="A38" i="110"/>
  <c r="AF37" i="110"/>
  <c r="AE37" i="110"/>
  <c r="F37" i="110"/>
  <c r="E37" i="110"/>
  <c r="D37" i="110"/>
  <c r="A37" i="110"/>
  <c r="AF36" i="110"/>
  <c r="AE36" i="110"/>
  <c r="F36" i="110"/>
  <c r="E36" i="110"/>
  <c r="D36" i="110"/>
  <c r="A36" i="110"/>
  <c r="AF35" i="110"/>
  <c r="AE35" i="110"/>
  <c r="F35" i="110"/>
  <c r="E35" i="110"/>
  <c r="D35" i="110"/>
  <c r="A35" i="110"/>
  <c r="AF34" i="110"/>
  <c r="AE34" i="110"/>
  <c r="F34" i="110"/>
  <c r="E34" i="110"/>
  <c r="D34" i="110"/>
  <c r="A34" i="110"/>
  <c r="AF33" i="110"/>
  <c r="AE33" i="110"/>
  <c r="F33" i="110"/>
  <c r="E33" i="110"/>
  <c r="D33" i="110"/>
  <c r="A33" i="110"/>
  <c r="AF32" i="110"/>
  <c r="A32" i="110"/>
  <c r="AF31" i="110"/>
  <c r="A31" i="110"/>
  <c r="AF30" i="110"/>
  <c r="A30" i="110"/>
  <c r="AF29" i="110"/>
  <c r="A29" i="110"/>
  <c r="AF28" i="110"/>
  <c r="A28" i="110"/>
  <c r="AF25" i="110"/>
  <c r="AE25" i="110"/>
  <c r="F25" i="110"/>
  <c r="E25" i="110"/>
  <c r="D25" i="110"/>
  <c r="A25" i="110"/>
  <c r="AF19" i="110"/>
  <c r="AE19" i="110"/>
  <c r="F19" i="110"/>
  <c r="E19" i="110"/>
  <c r="D19" i="110"/>
  <c r="A19" i="110"/>
  <c r="AF20" i="110"/>
  <c r="AE20" i="110"/>
  <c r="F20" i="110"/>
  <c r="E20" i="110"/>
  <c r="D20" i="110"/>
  <c r="A20" i="110"/>
  <c r="AF23" i="110"/>
  <c r="AE23" i="110"/>
  <c r="F23" i="110"/>
  <c r="E23" i="110"/>
  <c r="D23" i="110"/>
  <c r="A23" i="110"/>
  <c r="AF21" i="110"/>
  <c r="AE21" i="110"/>
  <c r="F21" i="110"/>
  <c r="E21" i="110"/>
  <c r="D21" i="110"/>
  <c r="A21" i="110"/>
  <c r="AF24" i="110"/>
  <c r="AE24" i="110"/>
  <c r="F24" i="110"/>
  <c r="E24" i="110"/>
  <c r="D24" i="110"/>
  <c r="A24" i="110"/>
  <c r="AF26" i="110"/>
  <c r="AE26" i="110"/>
  <c r="F26" i="110"/>
  <c r="E26" i="110"/>
  <c r="D26" i="110"/>
  <c r="A26" i="110"/>
  <c r="AF16" i="110"/>
  <c r="AE16" i="110"/>
  <c r="F16" i="110"/>
  <c r="E16" i="110"/>
  <c r="D16" i="110"/>
  <c r="A16" i="110"/>
  <c r="AF27" i="110"/>
  <c r="AE27" i="110"/>
  <c r="F27" i="110"/>
  <c r="E27" i="110"/>
  <c r="D27" i="110"/>
  <c r="A27" i="110"/>
  <c r="AF18" i="110"/>
  <c r="AE18" i="110"/>
  <c r="F18" i="110"/>
  <c r="E18" i="110"/>
  <c r="D18" i="110"/>
  <c r="A18" i="110"/>
  <c r="AF17" i="110"/>
  <c r="AE17" i="110"/>
  <c r="F17" i="110"/>
  <c r="E17" i="110"/>
  <c r="D17" i="110"/>
  <c r="A17" i="110"/>
  <c r="AF22" i="110"/>
  <c r="AE22" i="110"/>
  <c r="F22" i="110"/>
  <c r="E22" i="110"/>
  <c r="D22" i="110"/>
  <c r="A22" i="110"/>
  <c r="G12" i="110"/>
  <c r="AD10" i="110"/>
  <c r="B10" i="110"/>
  <c r="AD9" i="110"/>
  <c r="J9" i="110"/>
  <c r="B9" i="110"/>
  <c r="B7" i="110"/>
  <c r="B5" i="110"/>
  <c r="B4" i="110"/>
  <c r="B3" i="110"/>
  <c r="B2" i="110"/>
  <c r="B1" i="110"/>
  <c r="P44" i="109"/>
  <c r="K44" i="109" s="1"/>
  <c r="J44" i="109"/>
  <c r="I44" i="109"/>
  <c r="H44" i="109"/>
  <c r="G44" i="109"/>
  <c r="F44" i="109"/>
  <c r="E44" i="109"/>
  <c r="D44" i="109"/>
  <c r="A44" i="109"/>
  <c r="P43" i="109"/>
  <c r="K43" i="109" s="1"/>
  <c r="J43" i="109"/>
  <c r="I43" i="109"/>
  <c r="H43" i="109"/>
  <c r="G43" i="109"/>
  <c r="F43" i="109"/>
  <c r="E43" i="109"/>
  <c r="D43" i="109"/>
  <c r="A43" i="109"/>
  <c r="P42" i="109"/>
  <c r="K42" i="109" s="1"/>
  <c r="J42" i="109"/>
  <c r="I42" i="109"/>
  <c r="H42" i="109"/>
  <c r="G42" i="109"/>
  <c r="F42" i="109"/>
  <c r="E42" i="109"/>
  <c r="D42" i="109"/>
  <c r="A42" i="109"/>
  <c r="P41" i="109"/>
  <c r="K41" i="109" s="1"/>
  <c r="J41" i="109"/>
  <c r="I41" i="109"/>
  <c r="H41" i="109"/>
  <c r="G41" i="109"/>
  <c r="F41" i="109"/>
  <c r="E41" i="109"/>
  <c r="D41" i="109"/>
  <c r="A41" i="109"/>
  <c r="P40" i="109"/>
  <c r="K40" i="109" s="1"/>
  <c r="J40" i="109"/>
  <c r="I40" i="109"/>
  <c r="H40" i="109"/>
  <c r="G40" i="109"/>
  <c r="F40" i="109"/>
  <c r="E40" i="109"/>
  <c r="D40" i="109"/>
  <c r="A40" i="109"/>
  <c r="P39" i="109"/>
  <c r="K39" i="109" s="1"/>
  <c r="J39" i="109"/>
  <c r="I39" i="109"/>
  <c r="H39" i="109"/>
  <c r="G39" i="109"/>
  <c r="F39" i="109"/>
  <c r="E39" i="109"/>
  <c r="D39" i="109"/>
  <c r="A39" i="109"/>
  <c r="P38" i="109"/>
  <c r="K38" i="109" s="1"/>
  <c r="J38" i="109"/>
  <c r="I38" i="109"/>
  <c r="H38" i="109"/>
  <c r="G38" i="109"/>
  <c r="F38" i="109"/>
  <c r="E38" i="109"/>
  <c r="D38" i="109"/>
  <c r="A38" i="109"/>
  <c r="P37" i="109"/>
  <c r="K37" i="109" s="1"/>
  <c r="J37" i="109"/>
  <c r="I37" i="109"/>
  <c r="H37" i="109"/>
  <c r="G37" i="109"/>
  <c r="F37" i="109"/>
  <c r="E37" i="109"/>
  <c r="D37" i="109"/>
  <c r="A37" i="109"/>
  <c r="P36" i="109"/>
  <c r="K36" i="109" s="1"/>
  <c r="J36" i="109"/>
  <c r="I36" i="109"/>
  <c r="H36" i="109"/>
  <c r="G36" i="109"/>
  <c r="F36" i="109"/>
  <c r="E36" i="109"/>
  <c r="D36" i="109"/>
  <c r="A36" i="109"/>
  <c r="P35" i="109"/>
  <c r="A35" i="109"/>
  <c r="P34" i="109"/>
  <c r="A34" i="109"/>
  <c r="P33" i="109"/>
  <c r="A33" i="109"/>
  <c r="P32" i="109"/>
  <c r="A32" i="109"/>
  <c r="P31" i="109"/>
  <c r="A31" i="109"/>
  <c r="P30" i="109"/>
  <c r="A30" i="109"/>
  <c r="P29" i="109"/>
  <c r="A29" i="109"/>
  <c r="P28" i="109"/>
  <c r="A28" i="109"/>
  <c r="P16" i="109"/>
  <c r="K16" i="109" s="1"/>
  <c r="J16" i="109"/>
  <c r="I16" i="109"/>
  <c r="H16" i="109"/>
  <c r="G16" i="109"/>
  <c r="F16" i="109"/>
  <c r="E16" i="109"/>
  <c r="D16" i="109"/>
  <c r="A16" i="109"/>
  <c r="P22" i="109"/>
  <c r="K22" i="109" s="1"/>
  <c r="J22" i="109"/>
  <c r="I22" i="109"/>
  <c r="H22" i="109"/>
  <c r="G22" i="109"/>
  <c r="F22" i="109"/>
  <c r="E22" i="109"/>
  <c r="D22" i="109"/>
  <c r="A22" i="109"/>
  <c r="P21" i="109"/>
  <c r="K21" i="109" s="1"/>
  <c r="J21" i="109"/>
  <c r="I21" i="109"/>
  <c r="H21" i="109"/>
  <c r="G21" i="109"/>
  <c r="F21" i="109"/>
  <c r="E21" i="109"/>
  <c r="D21" i="109"/>
  <c r="A21" i="109"/>
  <c r="P27" i="109"/>
  <c r="K27" i="109" s="1"/>
  <c r="J27" i="109"/>
  <c r="I27" i="109"/>
  <c r="H27" i="109"/>
  <c r="G27" i="109"/>
  <c r="F27" i="109"/>
  <c r="E27" i="109"/>
  <c r="D27" i="109"/>
  <c r="A27" i="109"/>
  <c r="P18" i="109"/>
  <c r="K18" i="109" s="1"/>
  <c r="J18" i="109"/>
  <c r="I18" i="109"/>
  <c r="H18" i="109"/>
  <c r="G18" i="109"/>
  <c r="F18" i="109"/>
  <c r="E18" i="109"/>
  <c r="D18" i="109"/>
  <c r="A18" i="109"/>
  <c r="P26" i="109"/>
  <c r="K26" i="109" s="1"/>
  <c r="J26" i="109"/>
  <c r="I26" i="109"/>
  <c r="H26" i="109"/>
  <c r="G26" i="109"/>
  <c r="F26" i="109"/>
  <c r="E26" i="109"/>
  <c r="D26" i="109"/>
  <c r="A26" i="109"/>
  <c r="P23" i="109"/>
  <c r="K23" i="109" s="1"/>
  <c r="J23" i="109"/>
  <c r="I23" i="109"/>
  <c r="H23" i="109"/>
  <c r="G23" i="109"/>
  <c r="F23" i="109"/>
  <c r="E23" i="109"/>
  <c r="D23" i="109"/>
  <c r="A23" i="109"/>
  <c r="P24" i="109"/>
  <c r="K24" i="109" s="1"/>
  <c r="J24" i="109"/>
  <c r="I24" i="109"/>
  <c r="H24" i="109"/>
  <c r="G24" i="109"/>
  <c r="F24" i="109"/>
  <c r="E24" i="109"/>
  <c r="D24" i="109"/>
  <c r="A24" i="109"/>
  <c r="P17" i="109"/>
  <c r="K17" i="109" s="1"/>
  <c r="J17" i="109"/>
  <c r="I17" i="109"/>
  <c r="H17" i="109"/>
  <c r="G17" i="109"/>
  <c r="F17" i="109"/>
  <c r="E17" i="109"/>
  <c r="D17" i="109"/>
  <c r="A17" i="109"/>
  <c r="P25" i="109"/>
  <c r="K25" i="109" s="1"/>
  <c r="J25" i="109"/>
  <c r="I25" i="109"/>
  <c r="H25" i="109"/>
  <c r="G25" i="109"/>
  <c r="F25" i="109"/>
  <c r="E25" i="109"/>
  <c r="D25" i="109"/>
  <c r="A25" i="109"/>
  <c r="P19" i="109"/>
  <c r="K19" i="109" s="1"/>
  <c r="J19" i="109"/>
  <c r="I19" i="109"/>
  <c r="H19" i="109"/>
  <c r="G19" i="109"/>
  <c r="F19" i="109"/>
  <c r="E19" i="109"/>
  <c r="D19" i="109"/>
  <c r="A19" i="109"/>
  <c r="P20" i="109"/>
  <c r="K20" i="109" s="1"/>
  <c r="J20" i="109"/>
  <c r="I20" i="109"/>
  <c r="H20" i="109"/>
  <c r="G20" i="109"/>
  <c r="F20" i="109"/>
  <c r="E20" i="109"/>
  <c r="D20" i="109"/>
  <c r="A20" i="109"/>
  <c r="J13" i="109"/>
  <c r="B13" i="109"/>
  <c r="J12" i="109"/>
  <c r="B12" i="109"/>
  <c r="B7" i="109"/>
  <c r="B5" i="109"/>
  <c r="B4" i="109"/>
  <c r="B3" i="109"/>
  <c r="B2" i="109"/>
  <c r="B1" i="109"/>
  <c r="D80" i="108"/>
  <c r="D79" i="108"/>
  <c r="D78" i="108"/>
  <c r="D77" i="108"/>
  <c r="D76" i="108"/>
  <c r="D75" i="108"/>
  <c r="D74" i="108"/>
  <c r="D73" i="108"/>
  <c r="D72" i="108"/>
  <c r="D71" i="108"/>
  <c r="D70" i="108"/>
  <c r="D69" i="108"/>
  <c r="D68" i="108"/>
  <c r="D67" i="108"/>
  <c r="D66" i="108"/>
  <c r="D65" i="108"/>
  <c r="D64" i="108"/>
  <c r="D63" i="108"/>
  <c r="D62" i="108"/>
  <c r="D61" i="108"/>
  <c r="D60" i="108"/>
  <c r="D59" i="108"/>
  <c r="D58" i="108"/>
  <c r="D57" i="108"/>
  <c r="D56" i="108"/>
  <c r="D55" i="108"/>
  <c r="D54" i="108"/>
  <c r="D53" i="108"/>
  <c r="D52" i="108"/>
  <c r="X44" i="108"/>
  <c r="N44" i="108" s="1"/>
  <c r="W44" i="108"/>
  <c r="O44" i="108"/>
  <c r="M44" i="108"/>
  <c r="L44" i="108"/>
  <c r="K44" i="108"/>
  <c r="J44" i="108"/>
  <c r="I44" i="108"/>
  <c r="H44" i="108"/>
  <c r="G44" i="108"/>
  <c r="F44" i="108"/>
  <c r="E44" i="108"/>
  <c r="D44" i="108"/>
  <c r="A44" i="108"/>
  <c r="W43" i="108"/>
  <c r="O43" i="108" s="1"/>
  <c r="M43" i="108"/>
  <c r="L43" i="108"/>
  <c r="K43" i="108"/>
  <c r="J43" i="108"/>
  <c r="I43" i="108"/>
  <c r="H43" i="108"/>
  <c r="G43" i="108"/>
  <c r="F43" i="108"/>
  <c r="E43" i="108"/>
  <c r="D43" i="108"/>
  <c r="A43" i="108"/>
  <c r="X42" i="108"/>
  <c r="N42" i="108" s="1"/>
  <c r="W42" i="108"/>
  <c r="O42" i="108"/>
  <c r="M42" i="108"/>
  <c r="L42" i="108"/>
  <c r="K42" i="108"/>
  <c r="J42" i="108"/>
  <c r="I42" i="108"/>
  <c r="H42" i="108"/>
  <c r="G42" i="108"/>
  <c r="F42" i="108"/>
  <c r="E42" i="108"/>
  <c r="D42" i="108"/>
  <c r="A42" i="108"/>
  <c r="W41" i="108"/>
  <c r="X41" i="108" s="1"/>
  <c r="N41" i="108" s="1"/>
  <c r="M41" i="108"/>
  <c r="L41" i="108"/>
  <c r="K41" i="108"/>
  <c r="J41" i="108"/>
  <c r="I41" i="108"/>
  <c r="H41" i="108"/>
  <c r="G41" i="108"/>
  <c r="F41" i="108"/>
  <c r="E41" i="108"/>
  <c r="D41" i="108"/>
  <c r="A41" i="108"/>
  <c r="X40" i="108"/>
  <c r="N40" i="108" s="1"/>
  <c r="W40" i="108"/>
  <c r="O40" i="108"/>
  <c r="M40" i="108"/>
  <c r="L40" i="108"/>
  <c r="K40" i="108"/>
  <c r="J40" i="108"/>
  <c r="I40" i="108"/>
  <c r="H40" i="108"/>
  <c r="G40" i="108"/>
  <c r="F40" i="108"/>
  <c r="E40" i="108"/>
  <c r="D40" i="108"/>
  <c r="A40" i="108"/>
  <c r="W39" i="108"/>
  <c r="O39" i="108" s="1"/>
  <c r="M39" i="108"/>
  <c r="L39" i="108"/>
  <c r="K39" i="108"/>
  <c r="J39" i="108"/>
  <c r="I39" i="108"/>
  <c r="H39" i="108"/>
  <c r="G39" i="108"/>
  <c r="F39" i="108"/>
  <c r="E39" i="108"/>
  <c r="D39" i="108"/>
  <c r="A39" i="108"/>
  <c r="X38" i="108"/>
  <c r="N38" i="108" s="1"/>
  <c r="W38" i="108"/>
  <c r="O38" i="108"/>
  <c r="M38" i="108"/>
  <c r="L38" i="108"/>
  <c r="K38" i="108"/>
  <c r="J38" i="108"/>
  <c r="I38" i="108"/>
  <c r="H38" i="108"/>
  <c r="G38" i="108"/>
  <c r="F38" i="108"/>
  <c r="E38" i="108"/>
  <c r="D38" i="108"/>
  <c r="A38" i="108"/>
  <c r="W37" i="108"/>
  <c r="X37" i="108" s="1"/>
  <c r="N37" i="108" s="1"/>
  <c r="M37" i="108"/>
  <c r="L37" i="108"/>
  <c r="K37" i="108"/>
  <c r="J37" i="108"/>
  <c r="I37" i="108"/>
  <c r="H37" i="108"/>
  <c r="G37" i="108"/>
  <c r="F37" i="108"/>
  <c r="E37" i="108"/>
  <c r="D37" i="108"/>
  <c r="A37" i="108"/>
  <c r="X36" i="108"/>
  <c r="N36" i="108" s="1"/>
  <c r="W36" i="108"/>
  <c r="O36" i="108"/>
  <c r="M36" i="108"/>
  <c r="L36" i="108"/>
  <c r="K36" i="108"/>
  <c r="J36" i="108"/>
  <c r="I36" i="108"/>
  <c r="H36" i="108"/>
  <c r="G36" i="108"/>
  <c r="F36" i="108"/>
  <c r="E36" i="108"/>
  <c r="D36" i="108"/>
  <c r="A36" i="108"/>
  <c r="W35" i="108"/>
  <c r="O35" i="108" s="1"/>
  <c r="M35" i="108"/>
  <c r="L35" i="108"/>
  <c r="K35" i="108"/>
  <c r="J35" i="108"/>
  <c r="I35" i="108"/>
  <c r="H35" i="108"/>
  <c r="G35" i="108"/>
  <c r="F35" i="108"/>
  <c r="E35" i="108"/>
  <c r="D35" i="108"/>
  <c r="A35" i="108"/>
  <c r="X34" i="108"/>
  <c r="N34" i="108" s="1"/>
  <c r="W34" i="108"/>
  <c r="O34" i="108"/>
  <c r="M34" i="108"/>
  <c r="L34" i="108"/>
  <c r="K34" i="108"/>
  <c r="J34" i="108"/>
  <c r="I34" i="108"/>
  <c r="H34" i="108"/>
  <c r="G34" i="108"/>
  <c r="F34" i="108"/>
  <c r="E34" i="108"/>
  <c r="D34" i="108"/>
  <c r="A34" i="108"/>
  <c r="W33" i="108"/>
  <c r="X33" i="108" s="1"/>
  <c r="N33" i="108" s="1"/>
  <c r="M33" i="108"/>
  <c r="L33" i="108"/>
  <c r="K33" i="108"/>
  <c r="J33" i="108"/>
  <c r="I33" i="108"/>
  <c r="H33" i="108"/>
  <c r="G33" i="108"/>
  <c r="F33" i="108"/>
  <c r="E33" i="108"/>
  <c r="D33" i="108"/>
  <c r="A33" i="108"/>
  <c r="X32" i="108"/>
  <c r="W32" i="108"/>
  <c r="O32" i="108"/>
  <c r="A32" i="108"/>
  <c r="X31" i="108"/>
  <c r="W31" i="108"/>
  <c r="O31" i="108"/>
  <c r="A31" i="108"/>
  <c r="X30" i="108"/>
  <c r="W30" i="108"/>
  <c r="O30" i="108"/>
  <c r="A30" i="108"/>
  <c r="X29" i="108"/>
  <c r="W29" i="108"/>
  <c r="O29" i="108"/>
  <c r="A29" i="108"/>
  <c r="X28" i="108"/>
  <c r="W28" i="108"/>
  <c r="O28" i="108"/>
  <c r="A28" i="108"/>
  <c r="X19" i="108"/>
  <c r="N19" i="108" s="1"/>
  <c r="W19" i="108"/>
  <c r="O19" i="108"/>
  <c r="M19" i="108"/>
  <c r="L19" i="108"/>
  <c r="K19" i="108"/>
  <c r="J19" i="108"/>
  <c r="I19" i="108"/>
  <c r="H19" i="108"/>
  <c r="G19" i="108"/>
  <c r="F19" i="108"/>
  <c r="E19" i="108"/>
  <c r="D19" i="108"/>
  <c r="A19" i="108"/>
  <c r="W25" i="108"/>
  <c r="O25" i="108" s="1"/>
  <c r="M25" i="108"/>
  <c r="L25" i="108"/>
  <c r="K25" i="108"/>
  <c r="J25" i="108"/>
  <c r="I25" i="108"/>
  <c r="H25" i="108"/>
  <c r="G25" i="108"/>
  <c r="F25" i="108"/>
  <c r="E25" i="108"/>
  <c r="D25" i="108"/>
  <c r="A25" i="108"/>
  <c r="X22" i="108"/>
  <c r="N22" i="108" s="1"/>
  <c r="W22" i="108"/>
  <c r="O22" i="108"/>
  <c r="M22" i="108"/>
  <c r="L22" i="108"/>
  <c r="K22" i="108"/>
  <c r="J22" i="108"/>
  <c r="I22" i="108"/>
  <c r="H22" i="108"/>
  <c r="G22" i="108"/>
  <c r="F22" i="108"/>
  <c r="E22" i="108"/>
  <c r="D22" i="108"/>
  <c r="A22" i="108"/>
  <c r="W17" i="108"/>
  <c r="X17" i="108" s="1"/>
  <c r="N17" i="108" s="1"/>
  <c r="M17" i="108"/>
  <c r="L17" i="108"/>
  <c r="K17" i="108"/>
  <c r="J17" i="108"/>
  <c r="I17" i="108"/>
  <c r="H17" i="108"/>
  <c r="G17" i="108"/>
  <c r="F17" i="108"/>
  <c r="E17" i="108"/>
  <c r="D17" i="108"/>
  <c r="A17" i="108"/>
  <c r="X24" i="108"/>
  <c r="N24" i="108" s="1"/>
  <c r="W24" i="108"/>
  <c r="O24" i="108"/>
  <c r="M24" i="108"/>
  <c r="L24" i="108"/>
  <c r="K24" i="108"/>
  <c r="J24" i="108"/>
  <c r="I24" i="108"/>
  <c r="H24" i="108"/>
  <c r="G24" i="108"/>
  <c r="F24" i="108"/>
  <c r="E24" i="108"/>
  <c r="D24" i="108"/>
  <c r="A24" i="108"/>
  <c r="W27" i="108"/>
  <c r="O27" i="108" s="1"/>
  <c r="M27" i="108"/>
  <c r="L27" i="108"/>
  <c r="K27" i="108"/>
  <c r="J27" i="108"/>
  <c r="I27" i="108"/>
  <c r="H27" i="108"/>
  <c r="G27" i="108"/>
  <c r="F27" i="108"/>
  <c r="E27" i="108"/>
  <c r="D27" i="108"/>
  <c r="A27" i="108"/>
  <c r="X23" i="108"/>
  <c r="N23" i="108" s="1"/>
  <c r="W23" i="108"/>
  <c r="O23" i="108"/>
  <c r="M23" i="108"/>
  <c r="L23" i="108"/>
  <c r="K23" i="108"/>
  <c r="J23" i="108"/>
  <c r="I23" i="108"/>
  <c r="H23" i="108"/>
  <c r="G23" i="108"/>
  <c r="F23" i="108"/>
  <c r="E23" i="108"/>
  <c r="D23" i="108"/>
  <c r="A23" i="108"/>
  <c r="W26" i="108"/>
  <c r="X26" i="108" s="1"/>
  <c r="N26" i="108" s="1"/>
  <c r="M26" i="108"/>
  <c r="L26" i="108"/>
  <c r="K26" i="108"/>
  <c r="J26" i="108"/>
  <c r="I26" i="108"/>
  <c r="H26" i="108"/>
  <c r="G26" i="108"/>
  <c r="F26" i="108"/>
  <c r="E26" i="108"/>
  <c r="D26" i="108"/>
  <c r="A26" i="108"/>
  <c r="X16" i="108"/>
  <c r="N16" i="108" s="1"/>
  <c r="W16" i="108"/>
  <c r="O16" i="108"/>
  <c r="M16" i="108"/>
  <c r="L16" i="108"/>
  <c r="K16" i="108"/>
  <c r="J16" i="108"/>
  <c r="I16" i="108"/>
  <c r="H16" i="108"/>
  <c r="G16" i="108"/>
  <c r="F16" i="108"/>
  <c r="E16" i="108"/>
  <c r="D16" i="108"/>
  <c r="A16" i="108"/>
  <c r="W20" i="108"/>
  <c r="O20" i="108" s="1"/>
  <c r="M20" i="108"/>
  <c r="L20" i="108"/>
  <c r="K20" i="108"/>
  <c r="J20" i="108"/>
  <c r="I20" i="108"/>
  <c r="H20" i="108"/>
  <c r="G20" i="108"/>
  <c r="F20" i="108"/>
  <c r="E20" i="108"/>
  <c r="D20" i="108"/>
  <c r="A20" i="108"/>
  <c r="X21" i="108"/>
  <c r="N21" i="108" s="1"/>
  <c r="W21" i="108"/>
  <c r="O21" i="108"/>
  <c r="M21" i="108"/>
  <c r="L21" i="108"/>
  <c r="K21" i="108"/>
  <c r="J21" i="108"/>
  <c r="I21" i="108"/>
  <c r="H21" i="108"/>
  <c r="G21" i="108"/>
  <c r="F21" i="108"/>
  <c r="E21" i="108"/>
  <c r="D21" i="108"/>
  <c r="A21" i="108"/>
  <c r="W18" i="108"/>
  <c r="X18" i="108" s="1"/>
  <c r="N18" i="108" s="1"/>
  <c r="M18" i="108"/>
  <c r="L18" i="108"/>
  <c r="K18" i="108"/>
  <c r="J18" i="108"/>
  <c r="I18" i="108"/>
  <c r="H18" i="108"/>
  <c r="G18" i="108"/>
  <c r="F18" i="108"/>
  <c r="E18" i="108"/>
  <c r="D18" i="108"/>
  <c r="A18" i="108"/>
  <c r="M13" i="108"/>
  <c r="B13" i="108"/>
  <c r="M12" i="108"/>
  <c r="B12" i="108"/>
  <c r="B7" i="108"/>
  <c r="B5" i="108"/>
  <c r="B4" i="108"/>
  <c r="B3" i="108"/>
  <c r="B2" i="108"/>
  <c r="B1" i="108"/>
  <c r="L73" i="112" l="1"/>
  <c r="L73" i="114"/>
  <c r="L41" i="113"/>
  <c r="L118" i="112"/>
  <c r="L118" i="114"/>
  <c r="L119" i="114" s="1"/>
  <c r="L58" i="112"/>
  <c r="L68" i="114"/>
  <c r="L69" i="114" s="1"/>
  <c r="L36" i="113"/>
  <c r="L37" i="113" s="1"/>
  <c r="L53" i="114"/>
  <c r="L26" i="113"/>
  <c r="L78" i="112"/>
  <c r="L51" i="113"/>
  <c r="L83" i="114"/>
  <c r="L21" i="113"/>
  <c r="L22" i="113" s="1"/>
  <c r="L43" i="114"/>
  <c r="L44" i="114" s="1"/>
  <c r="L43" i="112"/>
  <c r="L58" i="114"/>
  <c r="L59" i="114" s="1"/>
  <c r="L78" i="114"/>
  <c r="L79" i="114" s="1"/>
  <c r="L46" i="113"/>
  <c r="L47" i="113" s="1"/>
  <c r="L103" i="112"/>
  <c r="L66" i="113"/>
  <c r="L103" i="114"/>
  <c r="L61" i="113"/>
  <c r="L62" i="113" s="1"/>
  <c r="L93" i="114"/>
  <c r="L94" i="114" s="1"/>
  <c r="M63" i="114"/>
  <c r="M31" i="113"/>
  <c r="M68" i="114"/>
  <c r="M36" i="113"/>
  <c r="M19" i="113"/>
  <c r="M41" i="114"/>
  <c r="N53" i="114"/>
  <c r="N26" i="113"/>
  <c r="N43" i="114"/>
  <c r="N21" i="113"/>
  <c r="N61" i="114"/>
  <c r="N29" i="113"/>
  <c r="L71" i="112"/>
  <c r="L39" i="113"/>
  <c r="L71" i="114"/>
  <c r="L116" i="112"/>
  <c r="L116" i="114"/>
  <c r="L66" i="114"/>
  <c r="L34" i="113"/>
  <c r="L51" i="114"/>
  <c r="L24" i="113"/>
  <c r="L81" i="114"/>
  <c r="L49" i="113"/>
  <c r="L41" i="114"/>
  <c r="L19" i="113"/>
  <c r="L76" i="114"/>
  <c r="L44" i="113"/>
  <c r="L101" i="114"/>
  <c r="L64" i="113"/>
  <c r="L91" i="112"/>
  <c r="L59" i="113"/>
  <c r="L91" i="114"/>
  <c r="M61" i="114"/>
  <c r="M29" i="113"/>
  <c r="M41" i="113"/>
  <c r="M73" i="114"/>
  <c r="M66" i="114"/>
  <c r="M34" i="113"/>
  <c r="M88" i="112"/>
  <c r="M78" i="114"/>
  <c r="M46" i="113"/>
  <c r="M93" i="114"/>
  <c r="M61" i="113"/>
  <c r="N91" i="114"/>
  <c r="N59" i="113"/>
  <c r="J53" i="114"/>
  <c r="J26" i="113"/>
  <c r="M71" i="114"/>
  <c r="M39" i="113"/>
  <c r="M53" i="114"/>
  <c r="M26" i="113"/>
  <c r="M86" i="112"/>
  <c r="M76" i="114"/>
  <c r="M44" i="113"/>
  <c r="M83" i="114"/>
  <c r="M51" i="113"/>
  <c r="M103" i="114"/>
  <c r="M66" i="113"/>
  <c r="N71" i="114"/>
  <c r="N39" i="113"/>
  <c r="N66" i="114"/>
  <c r="N34" i="113"/>
  <c r="J51" i="114"/>
  <c r="J24" i="113"/>
  <c r="M36" i="112"/>
  <c r="M51" i="114"/>
  <c r="M24" i="113"/>
  <c r="M81" i="114"/>
  <c r="M49" i="113"/>
  <c r="M118" i="112"/>
  <c r="M118" i="114"/>
  <c r="M68" i="112"/>
  <c r="M43" i="114"/>
  <c r="M21" i="113"/>
  <c r="N86" i="112"/>
  <c r="N76" i="114"/>
  <c r="N44" i="113"/>
  <c r="N49" i="113"/>
  <c r="N81" i="114"/>
  <c r="H99" i="114"/>
  <c r="Y99" i="114" s="1"/>
  <c r="X29" i="114"/>
  <c r="R66" i="114"/>
  <c r="I68" i="114"/>
  <c r="I36" i="113"/>
  <c r="I37" i="113" s="1"/>
  <c r="I51" i="114"/>
  <c r="I24" i="113"/>
  <c r="I58" i="112"/>
  <c r="I116" i="112"/>
  <c r="I116" i="114"/>
  <c r="I76" i="114"/>
  <c r="I44" i="113"/>
  <c r="I26" i="113"/>
  <c r="I53" i="114"/>
  <c r="I46" i="113"/>
  <c r="I47" i="113" s="1"/>
  <c r="I78" i="114"/>
  <c r="I79" i="114" s="1"/>
  <c r="I66" i="114"/>
  <c r="I34" i="113"/>
  <c r="G14" i="113"/>
  <c r="G36" i="114"/>
  <c r="G87" i="112"/>
  <c r="G103" i="112"/>
  <c r="G33" i="114"/>
  <c r="I114" i="114"/>
  <c r="Z114" i="114" s="1"/>
  <c r="G73" i="113"/>
  <c r="G95" i="114"/>
  <c r="G110" i="114"/>
  <c r="Y44" i="114"/>
  <c r="I44" i="114"/>
  <c r="Z124" i="114"/>
  <c r="G70" i="114"/>
  <c r="G130" i="114"/>
  <c r="G115" i="114"/>
  <c r="G125" i="114"/>
  <c r="Y94" i="114"/>
  <c r="I94" i="114"/>
  <c r="Y79" i="114"/>
  <c r="G120" i="114"/>
  <c r="G60" i="114"/>
  <c r="G45" i="114"/>
  <c r="L70" i="114"/>
  <c r="G30" i="114"/>
  <c r="L95" i="114"/>
  <c r="L45" i="114"/>
  <c r="L80" i="114"/>
  <c r="I119" i="114"/>
  <c r="Y119" i="114"/>
  <c r="I69" i="114"/>
  <c r="Y69" i="114"/>
  <c r="Y49" i="114"/>
  <c r="I49" i="114"/>
  <c r="Y59" i="114"/>
  <c r="I59" i="114"/>
  <c r="I29" i="114"/>
  <c r="Y29" i="114"/>
  <c r="G50" i="114"/>
  <c r="G100" i="114"/>
  <c r="G80" i="114"/>
  <c r="L60" i="114"/>
  <c r="L48" i="113"/>
  <c r="Y47" i="113"/>
  <c r="L63" i="113"/>
  <c r="L38" i="113"/>
  <c r="L23" i="113"/>
  <c r="Y37" i="113"/>
  <c r="Y62" i="113"/>
  <c r="I62" i="113"/>
  <c r="Y22" i="113"/>
  <c r="I22" i="113"/>
  <c r="G38" i="113"/>
  <c r="G48" i="113"/>
  <c r="G63" i="113"/>
  <c r="G23" i="113"/>
  <c r="K35" i="50"/>
  <c r="J34" i="50"/>
  <c r="J38" i="50"/>
  <c r="L119" i="112"/>
  <c r="K33" i="50"/>
  <c r="J31" i="50"/>
  <c r="K30" i="50"/>
  <c r="K37" i="50"/>
  <c r="K36" i="50"/>
  <c r="K32" i="50"/>
  <c r="K29" i="50"/>
  <c r="J28" i="50"/>
  <c r="G67" i="112"/>
  <c r="G92" i="112"/>
  <c r="G118" i="112"/>
  <c r="G123" i="112"/>
  <c r="G42" i="112"/>
  <c r="V90" i="112"/>
  <c r="F84" i="112"/>
  <c r="F99" i="112"/>
  <c r="W99" i="112" s="1"/>
  <c r="F29" i="112"/>
  <c r="F129" i="112"/>
  <c r="F109" i="112"/>
  <c r="F49" i="112"/>
  <c r="F114" i="112"/>
  <c r="F19" i="112"/>
  <c r="O18" i="108"/>
  <c r="X20" i="108"/>
  <c r="N20" i="108" s="1"/>
  <c r="O26" i="108"/>
  <c r="X27" i="108"/>
  <c r="N27" i="108" s="1"/>
  <c r="O17" i="108"/>
  <c r="X25" i="108"/>
  <c r="N25" i="108" s="1"/>
  <c r="O33" i="108"/>
  <c r="X35" i="108"/>
  <c r="N35" i="108" s="1"/>
  <c r="O37" i="108"/>
  <c r="X39" i="108"/>
  <c r="N39" i="108" s="1"/>
  <c r="O41" i="108"/>
  <c r="X43" i="108"/>
  <c r="N43" i="108" s="1"/>
  <c r="N43" i="112" l="1"/>
  <c r="N58" i="114"/>
  <c r="N63" i="112"/>
  <c r="N63" i="114"/>
  <c r="N31" i="113"/>
  <c r="N36" i="112"/>
  <c r="N51" i="114"/>
  <c r="N24" i="113"/>
  <c r="AC94" i="114"/>
  <c r="M94" i="114"/>
  <c r="AD94" i="114" s="1"/>
  <c r="M37" i="113"/>
  <c r="AD37" i="113" s="1"/>
  <c r="AC37" i="113"/>
  <c r="N58" i="112"/>
  <c r="N68" i="114"/>
  <c r="N36" i="113"/>
  <c r="N66" i="112"/>
  <c r="N41" i="114"/>
  <c r="N19" i="113"/>
  <c r="AC62" i="113"/>
  <c r="M62" i="113"/>
  <c r="AD62" i="113" s="1"/>
  <c r="AC47" i="113"/>
  <c r="M47" i="113"/>
  <c r="AD47" i="113" s="1"/>
  <c r="AC44" i="114"/>
  <c r="M44" i="114"/>
  <c r="AD44" i="114" s="1"/>
  <c r="AC69" i="114"/>
  <c r="M69" i="114"/>
  <c r="AD69" i="114" s="1"/>
  <c r="N73" i="112"/>
  <c r="N73" i="114"/>
  <c r="N41" i="113"/>
  <c r="N78" i="112"/>
  <c r="N83" i="114"/>
  <c r="N51" i="113"/>
  <c r="N93" i="112"/>
  <c r="N61" i="113"/>
  <c r="N93" i="114"/>
  <c r="AC79" i="114"/>
  <c r="M79" i="114"/>
  <c r="AD79" i="114" s="1"/>
  <c r="AC22" i="113"/>
  <c r="M22" i="113"/>
  <c r="AD22" i="113" s="1"/>
  <c r="N88" i="112"/>
  <c r="N78" i="114"/>
  <c r="N46" i="113"/>
  <c r="AC59" i="114"/>
  <c r="M59" i="114"/>
  <c r="AD59" i="114" s="1"/>
  <c r="M119" i="114"/>
  <c r="AD119" i="114" s="1"/>
  <c r="AC119" i="114"/>
  <c r="I99" i="114"/>
  <c r="Z99" i="114" s="1"/>
  <c r="G37" i="114"/>
  <c r="G15" i="113"/>
  <c r="G88" i="112"/>
  <c r="G16" i="113"/>
  <c r="G38" i="114"/>
  <c r="G34" i="114"/>
  <c r="G102" i="112"/>
  <c r="G32" i="114"/>
  <c r="M95" i="114"/>
  <c r="H60" i="114"/>
  <c r="H50" i="114"/>
  <c r="M80" i="114"/>
  <c r="M60" i="114"/>
  <c r="M45" i="114"/>
  <c r="Z69" i="114"/>
  <c r="Z44" i="114"/>
  <c r="H30" i="114"/>
  <c r="M70" i="114"/>
  <c r="H100" i="114"/>
  <c r="Z29" i="114"/>
  <c r="Z79" i="114"/>
  <c r="H70" i="114"/>
  <c r="H120" i="114"/>
  <c r="H95" i="114"/>
  <c r="H45" i="114"/>
  <c r="Z59" i="114"/>
  <c r="Z49" i="114"/>
  <c r="Z119" i="114"/>
  <c r="H125" i="114"/>
  <c r="H130" i="114"/>
  <c r="H115" i="114"/>
  <c r="Z94" i="114"/>
  <c r="H80" i="114"/>
  <c r="H48" i="113"/>
  <c r="H23" i="113"/>
  <c r="H63" i="113"/>
  <c r="M23" i="113"/>
  <c r="H38" i="113"/>
  <c r="Z47" i="113"/>
  <c r="M63" i="113"/>
  <c r="Z37" i="113"/>
  <c r="Z22" i="113"/>
  <c r="Z62" i="113"/>
  <c r="M38" i="113"/>
  <c r="M48" i="113"/>
  <c r="M119" i="112"/>
  <c r="T75" i="112"/>
  <c r="V87" i="112"/>
  <c r="T88" i="112"/>
  <c r="V88" i="112"/>
  <c r="T89" i="112"/>
  <c r="T87" i="112"/>
  <c r="V89" i="112"/>
  <c r="T86" i="112"/>
  <c r="V86" i="112"/>
  <c r="T90" i="112"/>
  <c r="V72" i="112"/>
  <c r="W84" i="112"/>
  <c r="W49" i="112"/>
  <c r="W29" i="112"/>
  <c r="W114" i="112"/>
  <c r="W109" i="112"/>
  <c r="W129" i="112"/>
  <c r="W19" i="112"/>
  <c r="L12" i="106"/>
  <c r="L11" i="106"/>
  <c r="L10" i="106"/>
  <c r="L9" i="106"/>
  <c r="L8" i="106"/>
  <c r="K7" i="106"/>
  <c r="K12" i="106"/>
  <c r="K11" i="106"/>
  <c r="K10" i="106"/>
  <c r="K9" i="106"/>
  <c r="K8" i="106"/>
  <c r="K7" i="105"/>
  <c r="L12" i="105"/>
  <c r="L11" i="105"/>
  <c r="L10" i="105"/>
  <c r="L9" i="105"/>
  <c r="L8" i="105"/>
  <c r="K12" i="105"/>
  <c r="K11" i="105"/>
  <c r="K10" i="105"/>
  <c r="K9" i="105"/>
  <c r="K8" i="105"/>
  <c r="K7" i="82"/>
  <c r="L12" i="82"/>
  <c r="L11" i="82"/>
  <c r="L10" i="82"/>
  <c r="L9" i="82"/>
  <c r="L8" i="82"/>
  <c r="K12" i="82"/>
  <c r="K11" i="82"/>
  <c r="K10" i="82"/>
  <c r="K9" i="82"/>
  <c r="K8" i="82"/>
  <c r="R12" i="106"/>
  <c r="Q12" i="106"/>
  <c r="A12" i="106"/>
  <c r="R11" i="106"/>
  <c r="Q11" i="106"/>
  <c r="A11" i="106"/>
  <c r="R10" i="106"/>
  <c r="Q10" i="106"/>
  <c r="A10" i="106"/>
  <c r="R9" i="106"/>
  <c r="Q9" i="106"/>
  <c r="A9" i="106"/>
  <c r="R8" i="106"/>
  <c r="Q8" i="106"/>
  <c r="Q7" i="106"/>
  <c r="A4" i="106"/>
  <c r="A3" i="106"/>
  <c r="A2" i="106"/>
  <c r="A1" i="106"/>
  <c r="R12" i="105"/>
  <c r="Q12" i="105"/>
  <c r="A12" i="105"/>
  <c r="R11" i="105"/>
  <c r="Q11" i="105"/>
  <c r="B11" i="105"/>
  <c r="A11" i="105"/>
  <c r="R10" i="105"/>
  <c r="Q10" i="105"/>
  <c r="B10" i="105"/>
  <c r="A10" i="105"/>
  <c r="R9" i="105"/>
  <c r="Q9" i="105"/>
  <c r="B9" i="105"/>
  <c r="A9" i="105"/>
  <c r="R8" i="105"/>
  <c r="Q8" i="105"/>
  <c r="A8" i="105"/>
  <c r="Q7" i="105"/>
  <c r="A4" i="105"/>
  <c r="A3" i="105"/>
  <c r="A2" i="105"/>
  <c r="A1" i="105"/>
  <c r="X34" i="114" l="1"/>
  <c r="G35" i="114"/>
  <c r="I60" i="114"/>
  <c r="I70" i="114"/>
  <c r="I115" i="114"/>
  <c r="I125" i="114"/>
  <c r="I95" i="114"/>
  <c r="I100" i="114"/>
  <c r="I50" i="114"/>
  <c r="I80" i="114"/>
  <c r="I30" i="114"/>
  <c r="I45" i="114"/>
  <c r="I120" i="114"/>
  <c r="I63" i="113"/>
  <c r="I48" i="113"/>
  <c r="I23" i="113"/>
  <c r="I38" i="113"/>
  <c r="T74" i="112"/>
  <c r="V73" i="112"/>
  <c r="T71" i="112"/>
  <c r="T72" i="112"/>
  <c r="T73" i="112"/>
  <c r="V75" i="112"/>
  <c r="V71" i="112"/>
  <c r="V74" i="112"/>
  <c r="T62" i="112"/>
  <c r="T64" i="112"/>
  <c r="T65" i="112"/>
  <c r="T61" i="112"/>
  <c r="T63" i="112"/>
  <c r="V93" i="112"/>
  <c r="T95" i="112"/>
  <c r="T94" i="112"/>
  <c r="T92" i="112"/>
  <c r="V95" i="112"/>
  <c r="V94" i="112"/>
  <c r="V92" i="112"/>
  <c r="T91" i="112"/>
  <c r="T93" i="112"/>
  <c r="V91" i="112"/>
  <c r="T125" i="112"/>
  <c r="T124" i="112"/>
  <c r="T122" i="112"/>
  <c r="V125" i="112"/>
  <c r="V124" i="112"/>
  <c r="V122" i="112"/>
  <c r="T121" i="112"/>
  <c r="T123" i="112"/>
  <c r="V121" i="112"/>
  <c r="V123" i="112"/>
  <c r="T68" i="112"/>
  <c r="V66" i="112"/>
  <c r="V68" i="112"/>
  <c r="T70" i="112"/>
  <c r="T69" i="112"/>
  <c r="T67" i="112"/>
  <c r="V70" i="112"/>
  <c r="V69" i="112"/>
  <c r="V67" i="112"/>
  <c r="T66" i="112"/>
  <c r="Q7" i="82"/>
  <c r="Q12" i="82"/>
  <c r="Q10" i="82"/>
  <c r="Q11" i="82"/>
  <c r="Q9" i="82"/>
  <c r="Q8" i="82"/>
  <c r="R12" i="82"/>
  <c r="R11" i="82"/>
  <c r="R10" i="82"/>
  <c r="R9" i="82"/>
  <c r="R8" i="82"/>
  <c r="B11" i="82"/>
  <c r="B10" i="82"/>
  <c r="B9" i="82"/>
  <c r="A11" i="82"/>
  <c r="A10" i="82"/>
  <c r="A9" i="82"/>
  <c r="A8" i="82"/>
  <c r="A4" i="82" l="1"/>
  <c r="A12" i="82"/>
  <c r="A3" i="82"/>
  <c r="B7" i="51"/>
  <c r="B5" i="51"/>
  <c r="B5" i="50"/>
  <c r="B4" i="51"/>
  <c r="B3" i="51"/>
  <c r="B11" i="51"/>
  <c r="B13" i="51"/>
  <c r="G13" i="51"/>
  <c r="G11" i="51"/>
  <c r="H11" i="51"/>
  <c r="I13" i="50"/>
  <c r="I12" i="50"/>
  <c r="B12" i="50"/>
  <c r="B7" i="50"/>
  <c r="B5" i="56"/>
  <c r="B4" i="50"/>
  <c r="B13" i="50"/>
  <c r="B3" i="50"/>
  <c r="AE12" i="56"/>
  <c r="AD12" i="56"/>
  <c r="B3" i="56"/>
  <c r="B3" i="55"/>
  <c r="B7" i="56"/>
  <c r="B5" i="55"/>
  <c r="B4" i="56"/>
  <c r="AD13" i="56"/>
  <c r="B12" i="56"/>
  <c r="B13" i="56"/>
  <c r="B7" i="55"/>
  <c r="B5" i="53"/>
  <c r="B4" i="55"/>
  <c r="I13" i="55"/>
  <c r="I12" i="55"/>
  <c r="J12" i="55"/>
  <c r="B12" i="55"/>
  <c r="B13" i="55"/>
  <c r="B3" i="53"/>
  <c r="B3" i="46"/>
  <c r="G13" i="53"/>
  <c r="G12" i="53"/>
  <c r="H12" i="53"/>
  <c r="B7" i="53"/>
  <c r="B5" i="46"/>
  <c r="B4" i="53"/>
  <c r="B12" i="53"/>
  <c r="B13" i="53"/>
  <c r="G13" i="46"/>
  <c r="G12" i="46"/>
  <c r="B7" i="46"/>
  <c r="B4" i="46"/>
  <c r="B12" i="46"/>
  <c r="B13" i="46"/>
  <c r="H28" i="51" l="1"/>
  <c r="G28" i="51"/>
  <c r="F28" i="51"/>
  <c r="E28" i="51"/>
  <c r="D28" i="51"/>
  <c r="H17" i="51"/>
  <c r="G17" i="51"/>
  <c r="F17" i="51"/>
  <c r="E17" i="51"/>
  <c r="D17" i="51"/>
  <c r="H26" i="51"/>
  <c r="G26" i="51"/>
  <c r="F26" i="51"/>
  <c r="E26" i="51"/>
  <c r="D26" i="51"/>
  <c r="I23" i="53"/>
  <c r="O36" i="112" l="1"/>
  <c r="O51" i="114"/>
  <c r="O24" i="113"/>
  <c r="O38" i="112"/>
  <c r="O53" i="114"/>
  <c r="O26" i="113"/>
  <c r="O21" i="112"/>
  <c r="O21" i="114"/>
  <c r="O23" i="112"/>
  <c r="O23" i="114"/>
  <c r="O31" i="112"/>
  <c r="O31" i="114"/>
  <c r="O33" i="112"/>
  <c r="O33" i="114"/>
  <c r="S85" i="106"/>
  <c r="C85" i="106"/>
  <c r="S84" i="106"/>
  <c r="C84" i="106"/>
  <c r="S83" i="106"/>
  <c r="C83" i="106"/>
  <c r="S82" i="106"/>
  <c r="D82" i="106"/>
  <c r="C82" i="106"/>
  <c r="S81" i="106"/>
  <c r="D81" i="106"/>
  <c r="C81" i="106"/>
  <c r="S80" i="106"/>
  <c r="C80" i="106"/>
  <c r="S79" i="106"/>
  <c r="C79" i="106"/>
  <c r="S78" i="106"/>
  <c r="C78" i="106"/>
  <c r="S77" i="106"/>
  <c r="D77" i="106"/>
  <c r="C77" i="106"/>
  <c r="S76" i="106"/>
  <c r="D76" i="106"/>
  <c r="C76" i="106"/>
  <c r="S75" i="106"/>
  <c r="C75" i="106"/>
  <c r="S74" i="106"/>
  <c r="C74" i="106"/>
  <c r="S73" i="106"/>
  <c r="C73" i="106"/>
  <c r="S72" i="106"/>
  <c r="D72" i="106"/>
  <c r="C72" i="106"/>
  <c r="S71" i="106"/>
  <c r="D71" i="106"/>
  <c r="C71" i="106"/>
  <c r="S70" i="106"/>
  <c r="C70" i="106"/>
  <c r="S69" i="106"/>
  <c r="C69" i="106"/>
  <c r="S68" i="106"/>
  <c r="C68" i="106"/>
  <c r="S67" i="106"/>
  <c r="D67" i="106"/>
  <c r="C67" i="106"/>
  <c r="S66" i="106"/>
  <c r="D66" i="106"/>
  <c r="C66" i="106"/>
  <c r="S65" i="106"/>
  <c r="C65" i="106"/>
  <c r="S64" i="106"/>
  <c r="C64" i="106"/>
  <c r="S63" i="106"/>
  <c r="C63" i="106"/>
  <c r="S62" i="106"/>
  <c r="D62" i="106"/>
  <c r="C62" i="106"/>
  <c r="S61" i="106"/>
  <c r="D61" i="106"/>
  <c r="C61" i="106"/>
  <c r="S35" i="106"/>
  <c r="C35" i="106"/>
  <c r="S34" i="106"/>
  <c r="C34" i="106"/>
  <c r="S33" i="106"/>
  <c r="C33" i="106"/>
  <c r="S32" i="106"/>
  <c r="D32" i="106"/>
  <c r="C32" i="106"/>
  <c r="S31" i="106"/>
  <c r="D31" i="106"/>
  <c r="C31" i="106"/>
  <c r="S40" i="106"/>
  <c r="C40" i="106"/>
  <c r="S39" i="106"/>
  <c r="C39" i="106"/>
  <c r="S38" i="106"/>
  <c r="C38" i="106"/>
  <c r="S37" i="106"/>
  <c r="D37" i="106"/>
  <c r="C37" i="106"/>
  <c r="S36" i="106"/>
  <c r="D36" i="106"/>
  <c r="C36" i="106"/>
  <c r="S25" i="106"/>
  <c r="C25" i="106"/>
  <c r="S24" i="106"/>
  <c r="C24" i="106"/>
  <c r="S23" i="106"/>
  <c r="C23" i="106"/>
  <c r="S22" i="106"/>
  <c r="D22" i="106"/>
  <c r="C22" i="106"/>
  <c r="S21" i="106"/>
  <c r="D21" i="106"/>
  <c r="C21" i="106"/>
  <c r="S30" i="106"/>
  <c r="C30" i="106"/>
  <c r="S29" i="106"/>
  <c r="C29" i="106"/>
  <c r="S28" i="106"/>
  <c r="C28" i="106"/>
  <c r="S27" i="106"/>
  <c r="D27" i="106"/>
  <c r="C27" i="106"/>
  <c r="S26" i="106"/>
  <c r="D26" i="106"/>
  <c r="C26" i="106"/>
  <c r="S55" i="106"/>
  <c r="C55" i="106"/>
  <c r="S54" i="106"/>
  <c r="C54" i="106"/>
  <c r="S53" i="106"/>
  <c r="C53" i="106"/>
  <c r="S52" i="106"/>
  <c r="D52" i="106"/>
  <c r="C52" i="106"/>
  <c r="S51" i="106"/>
  <c r="D51" i="106"/>
  <c r="C51" i="106"/>
  <c r="S45" i="106"/>
  <c r="C45" i="106"/>
  <c r="S44" i="106"/>
  <c r="C44" i="106"/>
  <c r="S43" i="106"/>
  <c r="C43" i="106"/>
  <c r="S42" i="106"/>
  <c r="D42" i="106"/>
  <c r="C42" i="106"/>
  <c r="S41" i="106"/>
  <c r="D41" i="106"/>
  <c r="C41" i="106"/>
  <c r="S50" i="106"/>
  <c r="C50" i="106"/>
  <c r="S49" i="106"/>
  <c r="C49" i="106"/>
  <c r="S48" i="106"/>
  <c r="C48" i="106"/>
  <c r="S47" i="106"/>
  <c r="D47" i="106"/>
  <c r="C47" i="106"/>
  <c r="S46" i="106"/>
  <c r="D46" i="106"/>
  <c r="C46" i="106"/>
  <c r="S60" i="106"/>
  <c r="C60" i="106"/>
  <c r="S59" i="106"/>
  <c r="C59" i="106"/>
  <c r="S58" i="106"/>
  <c r="C58" i="106"/>
  <c r="S57" i="106"/>
  <c r="D57" i="106"/>
  <c r="C57" i="106"/>
  <c r="S56" i="106"/>
  <c r="D56" i="106"/>
  <c r="C56" i="106"/>
  <c r="S20" i="106"/>
  <c r="C20" i="106"/>
  <c r="S19" i="106"/>
  <c r="C19" i="106"/>
  <c r="S18" i="106"/>
  <c r="C18" i="106"/>
  <c r="S17" i="106"/>
  <c r="D17" i="106"/>
  <c r="C17" i="106"/>
  <c r="S16" i="106"/>
  <c r="D16" i="106"/>
  <c r="C16" i="106"/>
  <c r="S80" i="105"/>
  <c r="C80" i="105"/>
  <c r="S79" i="105"/>
  <c r="C79" i="105"/>
  <c r="S78" i="105"/>
  <c r="C78" i="105"/>
  <c r="S77" i="105"/>
  <c r="D77" i="105"/>
  <c r="C77" i="105"/>
  <c r="S76" i="105"/>
  <c r="D76" i="105"/>
  <c r="C76" i="105"/>
  <c r="S75" i="105"/>
  <c r="C75" i="105"/>
  <c r="S74" i="105"/>
  <c r="C74" i="105"/>
  <c r="S73" i="105"/>
  <c r="C73" i="105"/>
  <c r="S72" i="105"/>
  <c r="D72" i="105"/>
  <c r="C72" i="105"/>
  <c r="S71" i="105"/>
  <c r="D71" i="105"/>
  <c r="C71" i="105"/>
  <c r="S70" i="105"/>
  <c r="C70" i="105"/>
  <c r="S69" i="105"/>
  <c r="C69" i="105"/>
  <c r="S68" i="105"/>
  <c r="C68" i="105"/>
  <c r="S67" i="105"/>
  <c r="D67" i="105"/>
  <c r="C67" i="105"/>
  <c r="S66" i="105"/>
  <c r="D66" i="105"/>
  <c r="C66" i="105"/>
  <c r="S35" i="105"/>
  <c r="C35" i="105"/>
  <c r="S34" i="105"/>
  <c r="C34" i="105"/>
  <c r="S33" i="105"/>
  <c r="C33" i="105"/>
  <c r="S32" i="105"/>
  <c r="D32" i="105"/>
  <c r="C32" i="105"/>
  <c r="S31" i="105"/>
  <c r="D31" i="105"/>
  <c r="C31" i="105"/>
  <c r="S55" i="105"/>
  <c r="C55" i="105"/>
  <c r="S54" i="105"/>
  <c r="C54" i="105"/>
  <c r="S53" i="105"/>
  <c r="C53" i="105"/>
  <c r="S52" i="105"/>
  <c r="D52" i="105"/>
  <c r="C52" i="105"/>
  <c r="S51" i="105"/>
  <c r="D51" i="105"/>
  <c r="C51" i="105"/>
  <c r="S45" i="105"/>
  <c r="C45" i="105"/>
  <c r="S44" i="105"/>
  <c r="C44" i="105"/>
  <c r="S43" i="105"/>
  <c r="C43" i="105"/>
  <c r="S42" i="105"/>
  <c r="D42" i="105"/>
  <c r="C42" i="105"/>
  <c r="S41" i="105"/>
  <c r="D41" i="105"/>
  <c r="C41" i="105"/>
  <c r="S65" i="105"/>
  <c r="C65" i="105"/>
  <c r="S64" i="105"/>
  <c r="C64" i="105"/>
  <c r="S63" i="105"/>
  <c r="C63" i="105"/>
  <c r="S62" i="105"/>
  <c r="D62" i="105"/>
  <c r="C62" i="105"/>
  <c r="S61" i="105"/>
  <c r="D61" i="105"/>
  <c r="C61" i="105"/>
  <c r="S50" i="105"/>
  <c r="C50" i="105"/>
  <c r="S49" i="105"/>
  <c r="C49" i="105"/>
  <c r="S48" i="105"/>
  <c r="O48" i="105"/>
  <c r="C48" i="105"/>
  <c r="S47" i="105"/>
  <c r="D47" i="105"/>
  <c r="C47" i="105"/>
  <c r="S46" i="105"/>
  <c r="O46" i="105"/>
  <c r="D46" i="105"/>
  <c r="C46" i="105"/>
  <c r="S60" i="105"/>
  <c r="C60" i="105"/>
  <c r="S59" i="105"/>
  <c r="C59" i="105"/>
  <c r="S58" i="105"/>
  <c r="C58" i="105"/>
  <c r="S57" i="105"/>
  <c r="D57" i="105"/>
  <c r="C57" i="105"/>
  <c r="S56" i="105"/>
  <c r="D56" i="105"/>
  <c r="C56" i="105"/>
  <c r="S40" i="105"/>
  <c r="C40" i="105"/>
  <c r="S39" i="105"/>
  <c r="C39" i="105"/>
  <c r="S38" i="105"/>
  <c r="C38" i="105"/>
  <c r="S37" i="105"/>
  <c r="D37" i="105"/>
  <c r="C37" i="105"/>
  <c r="S36" i="105"/>
  <c r="D36" i="105"/>
  <c r="C36" i="105"/>
  <c r="S25" i="105"/>
  <c r="C25" i="105"/>
  <c r="S24" i="105"/>
  <c r="C24" i="105"/>
  <c r="S23" i="105"/>
  <c r="C23" i="105"/>
  <c r="S22" i="105"/>
  <c r="D22" i="105"/>
  <c r="C22" i="105"/>
  <c r="S21" i="105"/>
  <c r="D21" i="105"/>
  <c r="C21" i="105"/>
  <c r="S20" i="105"/>
  <c r="C20" i="105"/>
  <c r="S19" i="105"/>
  <c r="C19" i="105"/>
  <c r="S18" i="105"/>
  <c r="C18" i="105"/>
  <c r="S17" i="105"/>
  <c r="D17" i="105"/>
  <c r="C17" i="105"/>
  <c r="S16" i="105"/>
  <c r="D16" i="105"/>
  <c r="C16" i="105"/>
  <c r="S30" i="105"/>
  <c r="C30" i="105"/>
  <c r="S29" i="105"/>
  <c r="C29" i="105"/>
  <c r="S28" i="105"/>
  <c r="C28" i="105"/>
  <c r="S27" i="105"/>
  <c r="D27" i="105"/>
  <c r="C27" i="105"/>
  <c r="S26" i="105"/>
  <c r="D26" i="105"/>
  <c r="C26" i="105"/>
  <c r="G46" i="112" l="1"/>
  <c r="G47" i="112"/>
  <c r="G48" i="112" l="1"/>
  <c r="K53" i="51"/>
  <c r="H53" i="51" s="1"/>
  <c r="G53" i="51"/>
  <c r="F53" i="51"/>
  <c r="E53" i="51"/>
  <c r="D53" i="51"/>
  <c r="A53" i="51"/>
  <c r="K52" i="51"/>
  <c r="H52" i="51" s="1"/>
  <c r="G52" i="51"/>
  <c r="F52" i="51"/>
  <c r="E52" i="51"/>
  <c r="D52" i="51"/>
  <c r="A52" i="51"/>
  <c r="K51" i="51"/>
  <c r="H51" i="51" s="1"/>
  <c r="G51" i="51"/>
  <c r="F51" i="51"/>
  <c r="E51" i="51"/>
  <c r="D51" i="51"/>
  <c r="A51" i="51"/>
  <c r="K50" i="51"/>
  <c r="H50" i="51" s="1"/>
  <c r="G50" i="51"/>
  <c r="F50" i="51"/>
  <c r="E50" i="51"/>
  <c r="D50" i="51"/>
  <c r="A50" i="51"/>
  <c r="K49" i="51"/>
  <c r="H49" i="51" s="1"/>
  <c r="G49" i="51"/>
  <c r="F49" i="51"/>
  <c r="E49" i="51"/>
  <c r="D49" i="51"/>
  <c r="A49" i="51"/>
  <c r="K48" i="51"/>
  <c r="H48" i="51" s="1"/>
  <c r="G48" i="51"/>
  <c r="F48" i="51"/>
  <c r="E48" i="51"/>
  <c r="D48" i="51"/>
  <c r="A48" i="51"/>
  <c r="K47" i="51"/>
  <c r="H47" i="51" s="1"/>
  <c r="G47" i="51"/>
  <c r="F47" i="51"/>
  <c r="E47" i="51"/>
  <c r="D47" i="51"/>
  <c r="A47" i="51"/>
  <c r="K46" i="51"/>
  <c r="H46" i="51" s="1"/>
  <c r="G46" i="51"/>
  <c r="F46" i="51"/>
  <c r="E46" i="51"/>
  <c r="D46" i="51"/>
  <c r="A46" i="51"/>
  <c r="K45" i="51"/>
  <c r="H45" i="51" s="1"/>
  <c r="G45" i="51"/>
  <c r="F45" i="51"/>
  <c r="E45" i="51"/>
  <c r="D45" i="51"/>
  <c r="A45" i="51"/>
  <c r="K44" i="51"/>
  <c r="H44" i="51" s="1"/>
  <c r="G44" i="51"/>
  <c r="F44" i="51"/>
  <c r="E44" i="51"/>
  <c r="D44" i="51"/>
  <c r="A44" i="51"/>
  <c r="K43" i="51"/>
  <c r="H43" i="51" s="1"/>
  <c r="G43" i="51"/>
  <c r="F43" i="51"/>
  <c r="E43" i="51"/>
  <c r="D43" i="51"/>
  <c r="A43" i="51"/>
  <c r="K42" i="51"/>
  <c r="H42" i="51" s="1"/>
  <c r="G42" i="51"/>
  <c r="O41" i="82" s="1"/>
  <c r="F42" i="51"/>
  <c r="E42" i="51"/>
  <c r="D42" i="51"/>
  <c r="A42" i="51"/>
  <c r="K41" i="51"/>
  <c r="H41" i="51" s="1"/>
  <c r="G41" i="51"/>
  <c r="F41" i="51"/>
  <c r="E41" i="51"/>
  <c r="D41" i="51"/>
  <c r="A41" i="51"/>
  <c r="A40" i="51"/>
  <c r="P50" i="50"/>
  <c r="K50" i="50" s="1"/>
  <c r="I50" i="50"/>
  <c r="H50" i="50"/>
  <c r="G50" i="50"/>
  <c r="F50" i="50"/>
  <c r="E50" i="50"/>
  <c r="D50" i="50"/>
  <c r="AF51" i="56"/>
  <c r="AE51" i="56"/>
  <c r="F51" i="56"/>
  <c r="E51" i="56"/>
  <c r="D51" i="56"/>
  <c r="A51" i="56"/>
  <c r="P52" i="55"/>
  <c r="K52" i="55" s="1"/>
  <c r="L38" i="112" s="1"/>
  <c r="J52" i="55"/>
  <c r="L36" i="112" s="1"/>
  <c r="I52" i="55"/>
  <c r="H52" i="55"/>
  <c r="G52" i="55"/>
  <c r="F52" i="55"/>
  <c r="E52" i="55"/>
  <c r="D52" i="55"/>
  <c r="H54" i="46"/>
  <c r="G54" i="46"/>
  <c r="A54" i="46"/>
  <c r="H53" i="46"/>
  <c r="G53" i="46"/>
  <c r="F53" i="46"/>
  <c r="E53" i="46"/>
  <c r="D53" i="46"/>
  <c r="A53" i="46"/>
  <c r="H52" i="46"/>
  <c r="G52" i="46"/>
  <c r="F52" i="46"/>
  <c r="E52" i="46"/>
  <c r="D52" i="46"/>
  <c r="A52" i="46"/>
  <c r="H51" i="46"/>
  <c r="G51" i="46"/>
  <c r="F51" i="46"/>
  <c r="E51" i="46"/>
  <c r="D51" i="46"/>
  <c r="A51" i="46"/>
  <c r="H50" i="46"/>
  <c r="J18" i="112" s="1"/>
  <c r="G50" i="46"/>
  <c r="J16" i="112" s="1"/>
  <c r="F50" i="46"/>
  <c r="E50" i="46"/>
  <c r="D50" i="46"/>
  <c r="A50" i="46"/>
  <c r="H49" i="46"/>
  <c r="G49" i="46"/>
  <c r="F49" i="46"/>
  <c r="E49" i="46"/>
  <c r="D49" i="46"/>
  <c r="A49" i="46"/>
  <c r="A48" i="46"/>
  <c r="H47" i="46"/>
  <c r="G47" i="46"/>
  <c r="F47" i="46"/>
  <c r="E47" i="46"/>
  <c r="D47" i="46"/>
  <c r="A47" i="46"/>
  <c r="I146" i="82"/>
  <c r="S140" i="82"/>
  <c r="C140" i="82"/>
  <c r="S139" i="82"/>
  <c r="C139" i="82"/>
  <c r="S138" i="82"/>
  <c r="C138" i="82"/>
  <c r="S137" i="82"/>
  <c r="D137" i="82"/>
  <c r="C137" i="82"/>
  <c r="S136" i="82"/>
  <c r="D136" i="82"/>
  <c r="C136" i="82"/>
  <c r="AE52" i="56"/>
  <c r="AF52" i="56"/>
  <c r="AE53" i="56"/>
  <c r="AF53" i="56"/>
  <c r="D46" i="55"/>
  <c r="E46" i="55"/>
  <c r="F46" i="55"/>
  <c r="G46" i="55"/>
  <c r="H46" i="55"/>
  <c r="I46" i="55"/>
  <c r="J46" i="55"/>
  <c r="L141" i="82" s="1"/>
  <c r="P46" i="55"/>
  <c r="K46" i="55" s="1"/>
  <c r="D45" i="55"/>
  <c r="E45" i="55"/>
  <c r="F45" i="55"/>
  <c r="G45" i="55"/>
  <c r="H45" i="55"/>
  <c r="I45" i="55"/>
  <c r="J45" i="55"/>
  <c r="P45" i="55"/>
  <c r="K45" i="55" s="1"/>
  <c r="I36" i="112"/>
  <c r="I38" i="112"/>
  <c r="G106" i="112"/>
  <c r="G107" i="112"/>
  <c r="I87" i="47"/>
  <c r="H87" i="47"/>
  <c r="G87" i="47"/>
  <c r="F87" i="47"/>
  <c r="E87" i="47"/>
  <c r="D87" i="47"/>
  <c r="A87" i="47"/>
  <c r="I86" i="47"/>
  <c r="H86" i="47"/>
  <c r="G86" i="47"/>
  <c r="F86" i="47"/>
  <c r="E86" i="47"/>
  <c r="D86" i="47"/>
  <c r="A86" i="47"/>
  <c r="I85" i="47"/>
  <c r="H85" i="47"/>
  <c r="G85" i="47"/>
  <c r="F85" i="47"/>
  <c r="E85" i="47"/>
  <c r="D85" i="47"/>
  <c r="A85" i="47"/>
  <c r="I84" i="47"/>
  <c r="H84" i="47"/>
  <c r="G84" i="47"/>
  <c r="F84" i="47"/>
  <c r="E84" i="47"/>
  <c r="D84" i="47"/>
  <c r="A84" i="47"/>
  <c r="I83" i="47"/>
  <c r="H83" i="47"/>
  <c r="G83" i="47"/>
  <c r="F83" i="47"/>
  <c r="E83" i="47"/>
  <c r="D83" i="47"/>
  <c r="A83" i="47"/>
  <c r="I82" i="47"/>
  <c r="H82" i="47"/>
  <c r="G82" i="47"/>
  <c r="F82" i="47"/>
  <c r="E82" i="47"/>
  <c r="D82" i="47"/>
  <c r="A82" i="47"/>
  <c r="I81" i="47"/>
  <c r="F53" i="82" s="1"/>
  <c r="H81" i="47"/>
  <c r="G81" i="47"/>
  <c r="F81" i="47"/>
  <c r="E81" i="47"/>
  <c r="D81" i="47"/>
  <c r="A81" i="47"/>
  <c r="I80" i="47"/>
  <c r="H80" i="47"/>
  <c r="G80" i="47"/>
  <c r="F80" i="47"/>
  <c r="E80" i="47"/>
  <c r="D80" i="47"/>
  <c r="A80" i="47"/>
  <c r="F67" i="46"/>
  <c r="E67" i="46"/>
  <c r="D67" i="46"/>
  <c r="F66" i="46"/>
  <c r="E66" i="46"/>
  <c r="D66" i="46"/>
  <c r="F65" i="46"/>
  <c r="E65" i="46"/>
  <c r="D65" i="46"/>
  <c r="F64" i="46"/>
  <c r="E64" i="46"/>
  <c r="D64" i="46"/>
  <c r="F63" i="46"/>
  <c r="E63" i="46"/>
  <c r="D63" i="46"/>
  <c r="F62" i="46"/>
  <c r="E62" i="46"/>
  <c r="D62" i="46"/>
  <c r="F61" i="46"/>
  <c r="E61" i="46"/>
  <c r="D61" i="46"/>
  <c r="F60" i="46"/>
  <c r="E60" i="46"/>
  <c r="D60" i="46"/>
  <c r="F43" i="46"/>
  <c r="E43" i="46"/>
  <c r="D43" i="46"/>
  <c r="F42" i="46"/>
  <c r="E42" i="46"/>
  <c r="D42" i="46"/>
  <c r="F41" i="46"/>
  <c r="E41" i="46"/>
  <c r="D41" i="46"/>
  <c r="F40" i="46"/>
  <c r="E40" i="46"/>
  <c r="D40" i="46"/>
  <c r="F39" i="46"/>
  <c r="E39" i="46"/>
  <c r="D39" i="46"/>
  <c r="F38" i="46"/>
  <c r="E38" i="46"/>
  <c r="D38" i="46"/>
  <c r="F37" i="46"/>
  <c r="E37" i="46"/>
  <c r="D37" i="46"/>
  <c r="F33" i="46"/>
  <c r="E33" i="46"/>
  <c r="D33" i="46"/>
  <c r="F32" i="46"/>
  <c r="E32" i="46"/>
  <c r="D32" i="46"/>
  <c r="F31" i="46"/>
  <c r="E31" i="46"/>
  <c r="D31" i="46"/>
  <c r="F30" i="46"/>
  <c r="E30" i="46"/>
  <c r="D30" i="46"/>
  <c r="F29" i="46"/>
  <c r="E29" i="46"/>
  <c r="D29" i="46"/>
  <c r="F27" i="46"/>
  <c r="E27" i="46"/>
  <c r="D27" i="46"/>
  <c r="F22" i="46"/>
  <c r="E22" i="46"/>
  <c r="D22" i="46"/>
  <c r="F21" i="46"/>
  <c r="E21" i="46"/>
  <c r="D21" i="46"/>
  <c r="F20" i="46"/>
  <c r="E20" i="46"/>
  <c r="D20" i="46"/>
  <c r="F19" i="46"/>
  <c r="E19" i="46"/>
  <c r="D19" i="46"/>
  <c r="F18" i="46"/>
  <c r="E18" i="46"/>
  <c r="D18" i="46"/>
  <c r="F17" i="46"/>
  <c r="E17" i="46"/>
  <c r="D17" i="46"/>
  <c r="F67" i="53"/>
  <c r="E67" i="53"/>
  <c r="D67" i="53"/>
  <c r="F60" i="53"/>
  <c r="E60" i="53"/>
  <c r="D60" i="53"/>
  <c r="F63" i="53"/>
  <c r="E63" i="53"/>
  <c r="D63" i="53"/>
  <c r="F66" i="53"/>
  <c r="E66" i="53"/>
  <c r="D66" i="53"/>
  <c r="F64" i="53"/>
  <c r="E64" i="53"/>
  <c r="D64" i="53"/>
  <c r="F62" i="53"/>
  <c r="E62" i="53"/>
  <c r="D62" i="53"/>
  <c r="F61" i="53"/>
  <c r="E61" i="53"/>
  <c r="D61" i="53"/>
  <c r="F65" i="53"/>
  <c r="E65" i="53"/>
  <c r="D65" i="53"/>
  <c r="F54" i="53"/>
  <c r="E54" i="53"/>
  <c r="D54" i="53"/>
  <c r="F53" i="53"/>
  <c r="E53" i="53"/>
  <c r="D53" i="53"/>
  <c r="F52" i="53"/>
  <c r="E52" i="53"/>
  <c r="D52" i="53"/>
  <c r="F51" i="53"/>
  <c r="E51" i="53"/>
  <c r="D51" i="53"/>
  <c r="F50" i="53"/>
  <c r="E50" i="53"/>
  <c r="D50" i="53"/>
  <c r="F49" i="53"/>
  <c r="E49" i="53"/>
  <c r="D49" i="53"/>
  <c r="F48" i="53"/>
  <c r="E48" i="53"/>
  <c r="D48" i="53"/>
  <c r="F47" i="53"/>
  <c r="E47" i="53"/>
  <c r="D47" i="53"/>
  <c r="F44" i="53"/>
  <c r="E44" i="53"/>
  <c r="D44" i="53"/>
  <c r="F43" i="53"/>
  <c r="E43" i="53"/>
  <c r="D43" i="53"/>
  <c r="F42" i="53"/>
  <c r="E42" i="53"/>
  <c r="D42" i="53"/>
  <c r="F41" i="53"/>
  <c r="E41" i="53"/>
  <c r="D41" i="53"/>
  <c r="F40" i="53"/>
  <c r="E40" i="53"/>
  <c r="D40" i="53"/>
  <c r="F39" i="53"/>
  <c r="E39" i="53"/>
  <c r="D39" i="53"/>
  <c r="F37" i="53"/>
  <c r="E37" i="53"/>
  <c r="D37" i="53"/>
  <c r="F34" i="53"/>
  <c r="E34" i="53"/>
  <c r="D34" i="53"/>
  <c r="F32" i="53"/>
  <c r="E32" i="53"/>
  <c r="D32" i="53"/>
  <c r="F31" i="53"/>
  <c r="E31" i="53"/>
  <c r="D31" i="53"/>
  <c r="F30" i="53"/>
  <c r="E30" i="53"/>
  <c r="D30" i="53"/>
  <c r="F29" i="53"/>
  <c r="E29" i="53"/>
  <c r="D29" i="53"/>
  <c r="F27" i="53"/>
  <c r="E27" i="53"/>
  <c r="D27" i="53"/>
  <c r="F24" i="53"/>
  <c r="E24" i="53"/>
  <c r="D24" i="53"/>
  <c r="F22" i="53"/>
  <c r="E22" i="53"/>
  <c r="D22" i="53"/>
  <c r="F21" i="53"/>
  <c r="E21" i="53"/>
  <c r="D21" i="53"/>
  <c r="F20" i="53"/>
  <c r="E20" i="53"/>
  <c r="D20" i="53"/>
  <c r="F19" i="53"/>
  <c r="E19" i="53"/>
  <c r="D19" i="53"/>
  <c r="F17" i="53"/>
  <c r="E17" i="53"/>
  <c r="D17" i="53"/>
  <c r="F27" i="55"/>
  <c r="E27" i="55"/>
  <c r="D27" i="55"/>
  <c r="F50" i="55"/>
  <c r="E50" i="55"/>
  <c r="D50" i="55"/>
  <c r="F53" i="55"/>
  <c r="E53" i="55"/>
  <c r="D53" i="55"/>
  <c r="F44" i="55"/>
  <c r="E44" i="55"/>
  <c r="D44" i="55"/>
  <c r="F24" i="55"/>
  <c r="E24" i="55"/>
  <c r="D24" i="55"/>
  <c r="F18" i="55"/>
  <c r="E18" i="55"/>
  <c r="D18" i="55"/>
  <c r="F51" i="55"/>
  <c r="E51" i="55"/>
  <c r="D51" i="55"/>
  <c r="F49" i="55"/>
  <c r="E49" i="55"/>
  <c r="D49" i="55"/>
  <c r="F19" i="55"/>
  <c r="E19" i="55"/>
  <c r="D19" i="55"/>
  <c r="F43" i="55"/>
  <c r="E43" i="55"/>
  <c r="D43" i="55"/>
  <c r="F23" i="55"/>
  <c r="E23" i="55"/>
  <c r="D23" i="55"/>
  <c r="F21" i="55"/>
  <c r="E21" i="55"/>
  <c r="D21" i="55"/>
  <c r="F20" i="55"/>
  <c r="E20" i="55"/>
  <c r="D20" i="55"/>
  <c r="F25" i="55"/>
  <c r="E25" i="55"/>
  <c r="D25" i="55"/>
  <c r="F17" i="55"/>
  <c r="E17" i="55"/>
  <c r="D17" i="55"/>
  <c r="F22" i="55"/>
  <c r="E22" i="55"/>
  <c r="D22" i="55"/>
  <c r="F48" i="55"/>
  <c r="E48" i="55"/>
  <c r="D48" i="55"/>
  <c r="F47" i="55"/>
  <c r="E47" i="55"/>
  <c r="D47" i="55"/>
  <c r="F26" i="55"/>
  <c r="E26" i="55"/>
  <c r="D26" i="55"/>
  <c r="F16" i="55"/>
  <c r="E16" i="55"/>
  <c r="D16" i="55"/>
  <c r="F53" i="56"/>
  <c r="E53" i="56"/>
  <c r="D53" i="56"/>
  <c r="F52" i="56"/>
  <c r="E52" i="56"/>
  <c r="D52" i="56"/>
  <c r="F50" i="56"/>
  <c r="E50" i="56"/>
  <c r="D50" i="56"/>
  <c r="F49" i="56"/>
  <c r="E49" i="56"/>
  <c r="D49" i="56"/>
  <c r="F48" i="56"/>
  <c r="E48" i="56"/>
  <c r="D48" i="56"/>
  <c r="F47" i="56"/>
  <c r="E47" i="56"/>
  <c r="D47" i="56"/>
  <c r="F26" i="56"/>
  <c r="E26" i="56"/>
  <c r="D26" i="56"/>
  <c r="F25" i="56"/>
  <c r="E25" i="56"/>
  <c r="D25" i="56"/>
  <c r="F16" i="56"/>
  <c r="E16" i="56"/>
  <c r="D16" i="56"/>
  <c r="F18" i="56"/>
  <c r="E18" i="56"/>
  <c r="D18" i="56"/>
  <c r="F46" i="56"/>
  <c r="E46" i="56"/>
  <c r="D46" i="56"/>
  <c r="F22" i="56"/>
  <c r="E22" i="56"/>
  <c r="D22" i="56"/>
  <c r="F24" i="56"/>
  <c r="E24" i="56"/>
  <c r="D24" i="56"/>
  <c r="F45" i="56"/>
  <c r="E45" i="56"/>
  <c r="D45" i="56"/>
  <c r="F15" i="56"/>
  <c r="E15" i="56"/>
  <c r="D15" i="56"/>
  <c r="F43" i="56"/>
  <c r="E43" i="56"/>
  <c r="D43" i="56"/>
  <c r="F44" i="56"/>
  <c r="E44" i="56"/>
  <c r="D44" i="56"/>
  <c r="F21" i="56"/>
  <c r="E21" i="56"/>
  <c r="D21" i="56"/>
  <c r="F17" i="56"/>
  <c r="E17" i="56"/>
  <c r="D17" i="56"/>
  <c r="F19" i="56"/>
  <c r="E19" i="56"/>
  <c r="D19" i="56"/>
  <c r="F23" i="56"/>
  <c r="E23" i="56"/>
  <c r="D23" i="56"/>
  <c r="F20" i="56"/>
  <c r="E20" i="56"/>
  <c r="D20" i="56"/>
  <c r="F52" i="50"/>
  <c r="E52" i="50"/>
  <c r="D52" i="50"/>
  <c r="F51" i="50"/>
  <c r="E51" i="50"/>
  <c r="D51" i="50"/>
  <c r="F49" i="50"/>
  <c r="E49" i="50"/>
  <c r="D49" i="50"/>
  <c r="F48" i="50"/>
  <c r="E48" i="50"/>
  <c r="D48" i="50"/>
  <c r="F47" i="50"/>
  <c r="E47" i="50"/>
  <c r="D47" i="50"/>
  <c r="F46" i="50"/>
  <c r="E46" i="50"/>
  <c r="D46" i="50"/>
  <c r="F22" i="50"/>
  <c r="E22" i="50"/>
  <c r="D22" i="50"/>
  <c r="F44" i="50"/>
  <c r="E44" i="50"/>
  <c r="D44" i="50"/>
  <c r="F26" i="50"/>
  <c r="E26" i="50"/>
  <c r="D26" i="50"/>
  <c r="F43" i="50"/>
  <c r="E43" i="50"/>
  <c r="D43" i="50"/>
  <c r="F16" i="50"/>
  <c r="E16" i="50"/>
  <c r="D16" i="50"/>
  <c r="F27" i="50"/>
  <c r="E27" i="50"/>
  <c r="D27" i="50"/>
  <c r="F45" i="50"/>
  <c r="E45" i="50"/>
  <c r="D45" i="50"/>
  <c r="F20" i="50"/>
  <c r="E20" i="50"/>
  <c r="D20" i="50"/>
  <c r="F17" i="50"/>
  <c r="E17" i="50"/>
  <c r="D17" i="50"/>
  <c r="F15" i="50"/>
  <c r="E15" i="50"/>
  <c r="D15" i="50"/>
  <c r="F18" i="50"/>
  <c r="E18" i="50"/>
  <c r="D18" i="50"/>
  <c r="F21" i="50"/>
  <c r="E21" i="50"/>
  <c r="D21" i="50"/>
  <c r="F24" i="50"/>
  <c r="E24" i="50"/>
  <c r="D24" i="50"/>
  <c r="F25" i="50"/>
  <c r="E25" i="50"/>
  <c r="D25" i="50"/>
  <c r="F23" i="50"/>
  <c r="E23" i="50"/>
  <c r="D23" i="50"/>
  <c r="F19" i="50"/>
  <c r="E19" i="50"/>
  <c r="D19" i="50"/>
  <c r="F86" i="51"/>
  <c r="E86" i="51"/>
  <c r="D86" i="51"/>
  <c r="F85" i="51"/>
  <c r="E85" i="51"/>
  <c r="D85" i="51"/>
  <c r="F84" i="51"/>
  <c r="E84" i="51"/>
  <c r="D84" i="51"/>
  <c r="F83" i="51"/>
  <c r="E83" i="51"/>
  <c r="D83" i="51"/>
  <c r="F82" i="51"/>
  <c r="E82" i="51"/>
  <c r="D82" i="51"/>
  <c r="F81" i="51"/>
  <c r="E81" i="51"/>
  <c r="D81" i="51"/>
  <c r="F80" i="51"/>
  <c r="E80" i="51"/>
  <c r="D80" i="51"/>
  <c r="F79" i="51"/>
  <c r="E79" i="51"/>
  <c r="D79" i="51"/>
  <c r="F78" i="51"/>
  <c r="E78" i="51"/>
  <c r="D78" i="51"/>
  <c r="F77" i="51"/>
  <c r="E77" i="51"/>
  <c r="D77" i="51"/>
  <c r="F76" i="51"/>
  <c r="E76" i="51"/>
  <c r="D76" i="51"/>
  <c r="F75" i="51"/>
  <c r="E75" i="51"/>
  <c r="D75" i="51"/>
  <c r="F74" i="51"/>
  <c r="E74" i="51"/>
  <c r="D74" i="51"/>
  <c r="F73" i="51"/>
  <c r="E73" i="51"/>
  <c r="D73" i="51"/>
  <c r="F72" i="51"/>
  <c r="E72" i="51"/>
  <c r="D72" i="51"/>
  <c r="F71" i="51"/>
  <c r="E71" i="51"/>
  <c r="D71" i="51"/>
  <c r="F70" i="51"/>
  <c r="E70" i="51"/>
  <c r="D70" i="51"/>
  <c r="F69" i="51"/>
  <c r="E69" i="51"/>
  <c r="D69" i="51"/>
  <c r="F68" i="51"/>
  <c r="E68" i="51"/>
  <c r="D68" i="51"/>
  <c r="F67" i="51"/>
  <c r="E67" i="51"/>
  <c r="D67" i="51"/>
  <c r="F66" i="51"/>
  <c r="E66" i="51"/>
  <c r="D66" i="51"/>
  <c r="F65" i="51"/>
  <c r="E65" i="51"/>
  <c r="D65" i="51"/>
  <c r="F64" i="51"/>
  <c r="E64" i="51"/>
  <c r="D64" i="51"/>
  <c r="F63" i="51"/>
  <c r="E63" i="51"/>
  <c r="D63" i="51"/>
  <c r="F62" i="51"/>
  <c r="E62" i="51"/>
  <c r="D62" i="51"/>
  <c r="F61" i="51"/>
  <c r="E61" i="51"/>
  <c r="D61" i="51"/>
  <c r="F60" i="51"/>
  <c r="E60" i="51"/>
  <c r="D60" i="51"/>
  <c r="F59" i="51"/>
  <c r="E59" i="51"/>
  <c r="D59" i="51"/>
  <c r="F58" i="51"/>
  <c r="E58" i="51"/>
  <c r="D58" i="51"/>
  <c r="F57" i="51"/>
  <c r="E57" i="51"/>
  <c r="D57" i="51"/>
  <c r="F56" i="51"/>
  <c r="E56" i="51"/>
  <c r="D56" i="51"/>
  <c r="F38" i="51"/>
  <c r="E38" i="51"/>
  <c r="F30" i="51"/>
  <c r="E30" i="51"/>
  <c r="D30" i="51"/>
  <c r="F29" i="51"/>
  <c r="E29" i="51"/>
  <c r="D29" i="51"/>
  <c r="F25" i="51"/>
  <c r="E25" i="51"/>
  <c r="D25" i="51"/>
  <c r="F23" i="51"/>
  <c r="E23" i="51"/>
  <c r="D23" i="51"/>
  <c r="F22" i="51"/>
  <c r="E22" i="51"/>
  <c r="D22" i="51"/>
  <c r="F21" i="51"/>
  <c r="E21" i="51"/>
  <c r="D21" i="51"/>
  <c r="F20" i="51"/>
  <c r="E20" i="51"/>
  <c r="D20" i="51"/>
  <c r="F19" i="51"/>
  <c r="E19" i="51"/>
  <c r="D19" i="51"/>
  <c r="F18" i="51"/>
  <c r="E18" i="51"/>
  <c r="D18" i="51"/>
  <c r="F27" i="51"/>
  <c r="E27" i="51"/>
  <c r="D27" i="51"/>
  <c r="F62" i="47"/>
  <c r="E62" i="47"/>
  <c r="D62" i="47"/>
  <c r="F61" i="47"/>
  <c r="E61" i="47"/>
  <c r="D61" i="47"/>
  <c r="F60" i="47"/>
  <c r="E60" i="47"/>
  <c r="D60" i="47"/>
  <c r="F59" i="47"/>
  <c r="E59" i="47"/>
  <c r="D59" i="47"/>
  <c r="F58" i="47"/>
  <c r="E58" i="47"/>
  <c r="D58" i="47"/>
  <c r="F57" i="47"/>
  <c r="E57" i="47"/>
  <c r="D57" i="47"/>
  <c r="F50" i="47"/>
  <c r="E50" i="47"/>
  <c r="D50" i="47"/>
  <c r="F49" i="47"/>
  <c r="E49" i="47"/>
  <c r="D49" i="47"/>
  <c r="F48" i="47"/>
  <c r="E48" i="47"/>
  <c r="D48" i="47"/>
  <c r="F47" i="47"/>
  <c r="E47" i="47"/>
  <c r="D47" i="47"/>
  <c r="J26" i="112" l="1"/>
  <c r="J26" i="114"/>
  <c r="J28" i="112"/>
  <c r="J28" i="114"/>
  <c r="J21" i="112"/>
  <c r="J21" i="114"/>
  <c r="J111" i="112"/>
  <c r="J111" i="114"/>
  <c r="J31" i="114"/>
  <c r="J31" i="112"/>
  <c r="J23" i="112"/>
  <c r="J23" i="114"/>
  <c r="J113" i="112"/>
  <c r="J113" i="114"/>
  <c r="J33" i="112"/>
  <c r="J33" i="114"/>
  <c r="F131" i="114"/>
  <c r="F131" i="112"/>
  <c r="F65" i="113"/>
  <c r="F102" i="114"/>
  <c r="F64" i="113"/>
  <c r="F101" i="114"/>
  <c r="F133" i="114"/>
  <c r="F134" i="114" s="1"/>
  <c r="F133" i="112"/>
  <c r="F134" i="112" s="1"/>
  <c r="W134" i="112" s="1"/>
  <c r="F132" i="114"/>
  <c r="F132" i="112"/>
  <c r="F66" i="113"/>
  <c r="F103" i="114"/>
  <c r="G49" i="112"/>
  <c r="F52" i="82"/>
  <c r="F42" i="106"/>
  <c r="F108" i="82"/>
  <c r="F63" i="82"/>
  <c r="F64" i="82" s="1"/>
  <c r="F18" i="106"/>
  <c r="F19" i="106" s="1"/>
  <c r="G26" i="105"/>
  <c r="G32" i="106"/>
  <c r="H46" i="105"/>
  <c r="J71" i="105"/>
  <c r="J76" i="105"/>
  <c r="O63" i="106"/>
  <c r="F43" i="106"/>
  <c r="F44" i="106" s="1"/>
  <c r="F141" i="82"/>
  <c r="F51" i="106"/>
  <c r="H48" i="105"/>
  <c r="J73" i="105"/>
  <c r="J78" i="105"/>
  <c r="M138" i="82"/>
  <c r="O76" i="105"/>
  <c r="J41" i="82"/>
  <c r="F106" i="82"/>
  <c r="F142" i="82"/>
  <c r="F52" i="106"/>
  <c r="F61" i="82"/>
  <c r="F16" i="106"/>
  <c r="H28" i="105"/>
  <c r="G27" i="105"/>
  <c r="H26" i="105"/>
  <c r="H51" i="106"/>
  <c r="J71" i="106"/>
  <c r="O78" i="105"/>
  <c r="F51" i="82"/>
  <c r="F41" i="106"/>
  <c r="F107" i="82"/>
  <c r="F143" i="82"/>
  <c r="F144" i="82" s="1"/>
  <c r="F53" i="106"/>
  <c r="F54" i="106" s="1"/>
  <c r="F62" i="82"/>
  <c r="F17" i="106"/>
  <c r="H53" i="106"/>
  <c r="G52" i="106"/>
  <c r="G51" i="106"/>
  <c r="G31" i="106"/>
  <c r="J73" i="106"/>
  <c r="O61" i="106"/>
  <c r="O68" i="106"/>
  <c r="O66" i="106"/>
  <c r="O83" i="106"/>
  <c r="O81" i="106"/>
  <c r="I76" i="106"/>
  <c r="I136" i="82"/>
  <c r="I78" i="106"/>
  <c r="I138" i="82"/>
  <c r="I28" i="105"/>
  <c r="I26" i="105"/>
  <c r="I148" i="82"/>
  <c r="I53" i="106"/>
  <c r="I143" i="82"/>
  <c r="I51" i="106"/>
  <c r="I141" i="82"/>
  <c r="J50" i="50"/>
  <c r="M76" i="106"/>
  <c r="M78" i="106"/>
  <c r="M136" i="82"/>
  <c r="L53" i="106"/>
  <c r="L143" i="82"/>
  <c r="L26" i="105"/>
  <c r="L78" i="106"/>
  <c r="L28" i="105"/>
  <c r="L51" i="106"/>
  <c r="L76" i="106"/>
  <c r="L136" i="82"/>
  <c r="L138" i="82"/>
  <c r="L146" i="82"/>
  <c r="L148" i="82"/>
  <c r="H143" i="82"/>
  <c r="H146" i="82"/>
  <c r="H141" i="82"/>
  <c r="H148" i="82"/>
  <c r="G142" i="82"/>
  <c r="G147" i="82"/>
  <c r="G141" i="82"/>
  <c r="G146" i="82"/>
  <c r="F54" i="82"/>
  <c r="G108" i="112"/>
  <c r="K67" i="113" l="1"/>
  <c r="J67" i="113"/>
  <c r="F67" i="113"/>
  <c r="N67" i="113"/>
  <c r="P64" i="113"/>
  <c r="O67" i="113"/>
  <c r="G134" i="114"/>
  <c r="W134" i="114"/>
  <c r="K104" i="114"/>
  <c r="F104" i="114"/>
  <c r="P101" i="114"/>
  <c r="N104" i="114"/>
  <c r="O104" i="114"/>
  <c r="J104" i="114"/>
  <c r="X49" i="112"/>
  <c r="G109" i="112"/>
  <c r="G33" i="106"/>
  <c r="G53" i="106"/>
  <c r="G54" i="106" s="1"/>
  <c r="W44" i="106"/>
  <c r="G28" i="105"/>
  <c r="W19" i="106"/>
  <c r="W54" i="106"/>
  <c r="G143" i="82"/>
  <c r="G144" i="82" s="1"/>
  <c r="G148" i="82"/>
  <c r="AE104" i="114" l="1"/>
  <c r="N105" i="114"/>
  <c r="Q64" i="113"/>
  <c r="AI64" i="113" s="1"/>
  <c r="AH64" i="113"/>
  <c r="L67" i="113"/>
  <c r="AB67" i="113"/>
  <c r="K68" i="113"/>
  <c r="AF67" i="113"/>
  <c r="O68" i="113"/>
  <c r="AF104" i="114"/>
  <c r="O105" i="114"/>
  <c r="L104" i="114"/>
  <c r="AB104" i="114"/>
  <c r="K105" i="114"/>
  <c r="AA67" i="113"/>
  <c r="J68" i="113"/>
  <c r="AA104" i="114"/>
  <c r="J105" i="114"/>
  <c r="G104" i="114"/>
  <c r="W104" i="114"/>
  <c r="X134" i="114"/>
  <c r="H134" i="114"/>
  <c r="G135" i="114"/>
  <c r="W67" i="113"/>
  <c r="G67" i="113"/>
  <c r="Q101" i="114"/>
  <c r="AI101" i="114" s="1"/>
  <c r="AH101" i="114"/>
  <c r="AE67" i="113"/>
  <c r="N68" i="113"/>
  <c r="T50" i="112"/>
  <c r="T47" i="112"/>
  <c r="T46" i="112"/>
  <c r="T49" i="112"/>
  <c r="T48" i="112"/>
  <c r="X109" i="112"/>
  <c r="X54" i="106"/>
  <c r="H54" i="106"/>
  <c r="H144" i="82"/>
  <c r="R102" i="114" l="1"/>
  <c r="R101" i="114"/>
  <c r="M67" i="113"/>
  <c r="AC67" i="113"/>
  <c r="L68" i="113"/>
  <c r="H67" i="113"/>
  <c r="X67" i="113"/>
  <c r="G68" i="113"/>
  <c r="Y134" i="114"/>
  <c r="H135" i="114"/>
  <c r="X104" i="114"/>
  <c r="H104" i="114"/>
  <c r="G105" i="114"/>
  <c r="M104" i="114"/>
  <c r="AC104" i="114"/>
  <c r="L105" i="114"/>
  <c r="R64" i="113"/>
  <c r="R65" i="113"/>
  <c r="T107" i="112"/>
  <c r="T106" i="112"/>
  <c r="T109" i="112"/>
  <c r="V107" i="112"/>
  <c r="T110" i="112"/>
  <c r="V109" i="112"/>
  <c r="V106" i="112"/>
  <c r="V108" i="112"/>
  <c r="V110" i="112"/>
  <c r="T108" i="112"/>
  <c r="Y54" i="106"/>
  <c r="I54" i="106"/>
  <c r="Z54" i="106" s="1"/>
  <c r="I144" i="82"/>
  <c r="AD104" i="114" l="1"/>
  <c r="M105" i="114"/>
  <c r="Y67" i="113"/>
  <c r="I67" i="113"/>
  <c r="H68" i="113"/>
  <c r="AD67" i="113"/>
  <c r="M68" i="113"/>
  <c r="I104" i="114"/>
  <c r="Y104" i="114"/>
  <c r="H105" i="114"/>
  <c r="D147" i="82"/>
  <c r="D146" i="82"/>
  <c r="D142" i="82"/>
  <c r="D141" i="82"/>
  <c r="D132" i="82"/>
  <c r="D131" i="82"/>
  <c r="D127" i="82"/>
  <c r="D126" i="82"/>
  <c r="D122" i="82"/>
  <c r="D121" i="82"/>
  <c r="D117" i="82"/>
  <c r="D116" i="82"/>
  <c r="D112" i="82"/>
  <c r="D111" i="82"/>
  <c r="D107" i="82"/>
  <c r="D106" i="82"/>
  <c r="D102" i="82"/>
  <c r="D101" i="82"/>
  <c r="D97" i="82"/>
  <c r="D96" i="82"/>
  <c r="D92" i="82"/>
  <c r="D91" i="82"/>
  <c r="D87" i="82"/>
  <c r="D86" i="82"/>
  <c r="D82" i="82"/>
  <c r="D81" i="82"/>
  <c r="D77" i="82"/>
  <c r="D76" i="82"/>
  <c r="D72" i="82"/>
  <c r="D71" i="82"/>
  <c r="D67" i="82"/>
  <c r="D66" i="82"/>
  <c r="D62" i="82"/>
  <c r="D61" i="82"/>
  <c r="D57" i="82"/>
  <c r="D56" i="82"/>
  <c r="D52" i="82"/>
  <c r="D51" i="82"/>
  <c r="D47" i="82"/>
  <c r="D46" i="82"/>
  <c r="D42" i="82"/>
  <c r="D41" i="82"/>
  <c r="D37" i="82"/>
  <c r="D36" i="82"/>
  <c r="D32" i="82"/>
  <c r="D31" i="82"/>
  <c r="D27" i="82"/>
  <c r="D26" i="82"/>
  <c r="D22" i="82"/>
  <c r="D21" i="82"/>
  <c r="D17" i="82"/>
  <c r="D16" i="82"/>
  <c r="C150" i="82"/>
  <c r="C149" i="82"/>
  <c r="C148" i="82"/>
  <c r="C147" i="82"/>
  <c r="C146" i="82"/>
  <c r="C145" i="82"/>
  <c r="C144" i="82"/>
  <c r="C143" i="82"/>
  <c r="C142" i="82"/>
  <c r="C141" i="82"/>
  <c r="C135" i="82"/>
  <c r="C134" i="82"/>
  <c r="C133" i="82"/>
  <c r="C132" i="82"/>
  <c r="C131" i="82"/>
  <c r="C130" i="82"/>
  <c r="C129" i="82"/>
  <c r="C128" i="82"/>
  <c r="C127" i="82"/>
  <c r="C126" i="82"/>
  <c r="C125" i="82"/>
  <c r="C124" i="82"/>
  <c r="C123" i="82"/>
  <c r="C122" i="82"/>
  <c r="C121" i="82"/>
  <c r="C120" i="82"/>
  <c r="C119" i="82"/>
  <c r="C118" i="82"/>
  <c r="C117" i="82"/>
  <c r="C116" i="82"/>
  <c r="C115" i="82"/>
  <c r="C114" i="82"/>
  <c r="C113" i="82"/>
  <c r="C112" i="82"/>
  <c r="C111" i="82"/>
  <c r="C110" i="82"/>
  <c r="C109" i="82"/>
  <c r="C108" i="82"/>
  <c r="C107" i="82"/>
  <c r="C106" i="82"/>
  <c r="C105" i="82"/>
  <c r="C104" i="82"/>
  <c r="C103" i="82"/>
  <c r="C102" i="82"/>
  <c r="C101" i="82"/>
  <c r="C100" i="82"/>
  <c r="C99" i="82"/>
  <c r="C98" i="82"/>
  <c r="C97" i="82"/>
  <c r="C96" i="82"/>
  <c r="C95" i="82"/>
  <c r="C94" i="82"/>
  <c r="C93" i="82"/>
  <c r="C92" i="82"/>
  <c r="C91" i="82"/>
  <c r="C90" i="82"/>
  <c r="C89" i="82"/>
  <c r="C88" i="82"/>
  <c r="C87" i="82"/>
  <c r="C86" i="82"/>
  <c r="C85" i="82"/>
  <c r="C84" i="82"/>
  <c r="C83" i="82"/>
  <c r="C82" i="82"/>
  <c r="C81" i="82"/>
  <c r="C80" i="82"/>
  <c r="C79" i="82"/>
  <c r="C78" i="82"/>
  <c r="C77" i="82"/>
  <c r="C76" i="82"/>
  <c r="C75" i="82"/>
  <c r="C74" i="82"/>
  <c r="C73" i="82"/>
  <c r="C72" i="82"/>
  <c r="C71" i="82"/>
  <c r="C70" i="82"/>
  <c r="C69" i="82"/>
  <c r="C68" i="82"/>
  <c r="C67" i="82"/>
  <c r="C66" i="82"/>
  <c r="C65" i="82"/>
  <c r="C64" i="82"/>
  <c r="C63" i="82"/>
  <c r="C62" i="82"/>
  <c r="C61" i="82"/>
  <c r="C60" i="82"/>
  <c r="C59" i="82"/>
  <c r="C58" i="82"/>
  <c r="C57" i="82"/>
  <c r="C56" i="82"/>
  <c r="C55" i="82"/>
  <c r="C54" i="82"/>
  <c r="C53" i="82"/>
  <c r="C52" i="82"/>
  <c r="C51" i="82"/>
  <c r="C50" i="82"/>
  <c r="C49" i="82"/>
  <c r="C48" i="82"/>
  <c r="C47" i="82"/>
  <c r="C46" i="82"/>
  <c r="C45" i="82"/>
  <c r="C44" i="82"/>
  <c r="C43" i="82"/>
  <c r="C42" i="82"/>
  <c r="C41" i="82"/>
  <c r="C40" i="82"/>
  <c r="C39" i="82"/>
  <c r="C38" i="82"/>
  <c r="C37" i="82"/>
  <c r="C36" i="82"/>
  <c r="C35" i="82"/>
  <c r="C34" i="82"/>
  <c r="C33" i="82"/>
  <c r="C32" i="82"/>
  <c r="C31" i="82"/>
  <c r="C30" i="82"/>
  <c r="C29" i="82"/>
  <c r="C28" i="82"/>
  <c r="C27" i="82"/>
  <c r="C26" i="82"/>
  <c r="C25" i="82"/>
  <c r="C24" i="82"/>
  <c r="C23" i="82"/>
  <c r="C22" i="82"/>
  <c r="C21" i="82"/>
  <c r="C20" i="82"/>
  <c r="C19" i="82"/>
  <c r="C18" i="82"/>
  <c r="C17" i="82"/>
  <c r="C16" i="82"/>
  <c r="S150" i="82"/>
  <c r="S149" i="82"/>
  <c r="S148" i="82"/>
  <c r="S147" i="82"/>
  <c r="S146" i="82"/>
  <c r="S145" i="82"/>
  <c r="S144" i="82"/>
  <c r="S143" i="82"/>
  <c r="S142" i="82"/>
  <c r="S141" i="82"/>
  <c r="Z104" i="114" l="1"/>
  <c r="I105" i="114"/>
  <c r="Z67" i="113"/>
  <c r="I68" i="113"/>
  <c r="W144" i="82"/>
  <c r="X144" i="82" l="1"/>
  <c r="Y144" i="82" l="1"/>
  <c r="Z144" i="82" l="1"/>
  <c r="S135" i="82" l="1"/>
  <c r="S134" i="82"/>
  <c r="S133" i="82"/>
  <c r="S132" i="82"/>
  <c r="S131" i="82"/>
  <c r="S130" i="82"/>
  <c r="S129" i="82"/>
  <c r="S128" i="82"/>
  <c r="S127" i="82"/>
  <c r="S126" i="82"/>
  <c r="S125" i="82"/>
  <c r="S124" i="82"/>
  <c r="S123" i="82"/>
  <c r="S122" i="82"/>
  <c r="S121" i="82"/>
  <c r="S120" i="82"/>
  <c r="S119" i="82"/>
  <c r="S118" i="82"/>
  <c r="S117" i="82"/>
  <c r="S116" i="82"/>
  <c r="S115" i="82"/>
  <c r="S114" i="82"/>
  <c r="S113" i="82"/>
  <c r="S112" i="82"/>
  <c r="S111" i="82"/>
  <c r="S110" i="82"/>
  <c r="S109" i="82"/>
  <c r="S108" i="82"/>
  <c r="S107" i="82"/>
  <c r="S106" i="82"/>
  <c r="S105" i="82"/>
  <c r="S104" i="82"/>
  <c r="S103" i="82"/>
  <c r="S102" i="82"/>
  <c r="S101" i="82"/>
  <c r="S100" i="82"/>
  <c r="S99" i="82"/>
  <c r="S98" i="82"/>
  <c r="S97" i="82"/>
  <c r="S96" i="82"/>
  <c r="S95" i="82"/>
  <c r="S94" i="82"/>
  <c r="S93" i="82"/>
  <c r="S92" i="82"/>
  <c r="S91" i="82"/>
  <c r="S90" i="82"/>
  <c r="S89" i="82"/>
  <c r="S88" i="82"/>
  <c r="S87" i="82"/>
  <c r="S86" i="82"/>
  <c r="S85" i="82"/>
  <c r="S84" i="82"/>
  <c r="S83" i="82"/>
  <c r="S82" i="82"/>
  <c r="S81" i="82"/>
  <c r="S80" i="82"/>
  <c r="S79" i="82"/>
  <c r="S78" i="82"/>
  <c r="S77" i="82"/>
  <c r="S76" i="82"/>
  <c r="S75" i="82"/>
  <c r="S74" i="82"/>
  <c r="S73" i="82"/>
  <c r="S72" i="82"/>
  <c r="S71" i="82"/>
  <c r="S70" i="82"/>
  <c r="S69" i="82"/>
  <c r="S68" i="82"/>
  <c r="S67" i="82"/>
  <c r="S66" i="82"/>
  <c r="S65" i="82"/>
  <c r="S64" i="82"/>
  <c r="S63" i="82"/>
  <c r="S62" i="82"/>
  <c r="S61" i="82"/>
  <c r="S60" i="82" l="1"/>
  <c r="S59" i="82"/>
  <c r="S58" i="82"/>
  <c r="S57" i="82"/>
  <c r="S56" i="82"/>
  <c r="S55" i="82"/>
  <c r="S54" i="82"/>
  <c r="S53" i="82"/>
  <c r="S52" i="82"/>
  <c r="S51" i="82"/>
  <c r="S50" i="82"/>
  <c r="S49" i="82"/>
  <c r="S48" i="82"/>
  <c r="S47" i="82"/>
  <c r="S46" i="82"/>
  <c r="S45" i="82"/>
  <c r="S44" i="82"/>
  <c r="S43" i="82"/>
  <c r="S42" i="82"/>
  <c r="S41" i="82"/>
  <c r="S40" i="82"/>
  <c r="S39" i="82"/>
  <c r="S38" i="82"/>
  <c r="S37" i="82"/>
  <c r="S36" i="82"/>
  <c r="S35" i="82"/>
  <c r="S34" i="82"/>
  <c r="S33" i="82"/>
  <c r="S32" i="82"/>
  <c r="S31" i="82"/>
  <c r="P41" i="50" l="1"/>
  <c r="P39" i="55" l="1"/>
  <c r="G21" i="55"/>
  <c r="H21" i="55"/>
  <c r="I21" i="55"/>
  <c r="J21" i="55"/>
  <c r="P21" i="55"/>
  <c r="K21" i="55" s="1"/>
  <c r="A39" i="55"/>
  <c r="A21" i="55"/>
  <c r="L23" i="112" l="1"/>
  <c r="L23" i="114"/>
  <c r="L21" i="112"/>
  <c r="L21" i="114"/>
  <c r="L48" i="106"/>
  <c r="L38" i="82"/>
  <c r="L41" i="105"/>
  <c r="L71" i="82"/>
  <c r="L43" i="105"/>
  <c r="L73" i="82"/>
  <c r="L46" i="106"/>
  <c r="L36" i="82"/>
  <c r="I111" i="112"/>
  <c r="I113" i="112"/>
  <c r="G131" i="112"/>
  <c r="G133" i="112"/>
  <c r="H46" i="112" l="1"/>
  <c r="H29" i="113"/>
  <c r="H61" i="112"/>
  <c r="H61" i="114"/>
  <c r="H48" i="112"/>
  <c r="H49" i="112" s="1"/>
  <c r="H31" i="113"/>
  <c r="H63" i="114"/>
  <c r="H63" i="112"/>
  <c r="I46" i="112"/>
  <c r="I48" i="112"/>
  <c r="G134" i="112"/>
  <c r="G31" i="105"/>
  <c r="G16" i="105"/>
  <c r="H31" i="105"/>
  <c r="G33" i="105"/>
  <c r="G18" i="105"/>
  <c r="H33" i="105"/>
  <c r="I63" i="106"/>
  <c r="I61" i="106"/>
  <c r="G132" i="112"/>
  <c r="Y49" i="112" l="1"/>
  <c r="I49" i="112"/>
  <c r="Z49" i="112" s="1"/>
  <c r="X134" i="112"/>
  <c r="G17" i="105"/>
  <c r="G32" i="105"/>
  <c r="S30" i="82"/>
  <c r="S29" i="82"/>
  <c r="S28" i="82"/>
  <c r="S27" i="82"/>
  <c r="S26" i="82"/>
  <c r="S25" i="82"/>
  <c r="S24" i="82"/>
  <c r="S23" i="82"/>
  <c r="S22" i="82"/>
  <c r="S21" i="82"/>
  <c r="S20" i="82"/>
  <c r="S19" i="82"/>
  <c r="S18" i="82"/>
  <c r="S17" i="82"/>
  <c r="S16" i="82"/>
  <c r="V131" i="112" l="1"/>
  <c r="V134" i="112"/>
  <c r="V133" i="112"/>
  <c r="T131" i="112"/>
  <c r="T134" i="112"/>
  <c r="T135" i="112"/>
  <c r="V135" i="112"/>
  <c r="T132" i="112"/>
  <c r="V132" i="112"/>
  <c r="T133" i="112"/>
  <c r="A2" i="82"/>
  <c r="A1" i="82"/>
  <c r="K73" i="51"/>
  <c r="K72" i="51"/>
  <c r="K71" i="51"/>
  <c r="K70" i="51"/>
  <c r="K69" i="51"/>
  <c r="K68" i="51"/>
  <c r="K67" i="51"/>
  <c r="K66" i="51"/>
  <c r="K65" i="51"/>
  <c r="K64" i="51"/>
  <c r="K63" i="51"/>
  <c r="K62" i="51"/>
  <c r="K61" i="51"/>
  <c r="K60" i="51"/>
  <c r="K59" i="51"/>
  <c r="K58" i="51"/>
  <c r="K57" i="51"/>
  <c r="K56" i="51"/>
  <c r="K38" i="51"/>
  <c r="H49" i="53" l="1"/>
  <c r="I21" i="53"/>
  <c r="H21" i="53"/>
  <c r="G21" i="53"/>
  <c r="I20" i="53"/>
  <c r="H20" i="53"/>
  <c r="G20" i="53"/>
  <c r="I19" i="53"/>
  <c r="K71" i="113" s="1"/>
  <c r="H19" i="53"/>
  <c r="K70" i="113" s="1"/>
  <c r="G19" i="53"/>
  <c r="K69" i="113" s="1"/>
  <c r="I18" i="53"/>
  <c r="H18" i="53"/>
  <c r="G18" i="53"/>
  <c r="I67" i="53"/>
  <c r="H67" i="53"/>
  <c r="G67" i="53"/>
  <c r="A67" i="53"/>
  <c r="I60" i="53"/>
  <c r="H60" i="53"/>
  <c r="G60" i="53"/>
  <c r="A60" i="53"/>
  <c r="I63" i="53"/>
  <c r="H63" i="53"/>
  <c r="G63" i="53"/>
  <c r="A63" i="53"/>
  <c r="I66" i="53"/>
  <c r="H66" i="53"/>
  <c r="G66" i="53"/>
  <c r="A66" i="53"/>
  <c r="I64" i="53"/>
  <c r="H64" i="53"/>
  <c r="G64" i="53"/>
  <c r="A64" i="53"/>
  <c r="I62" i="53"/>
  <c r="H62" i="53"/>
  <c r="G62" i="53"/>
  <c r="A62" i="53"/>
  <c r="I61" i="53"/>
  <c r="H61" i="53"/>
  <c r="G61" i="53"/>
  <c r="A61" i="53"/>
  <c r="I65" i="53"/>
  <c r="H65" i="53"/>
  <c r="G65" i="53"/>
  <c r="A65" i="53"/>
  <c r="K101" i="112" l="1"/>
  <c r="K64" i="113"/>
  <c r="K101" i="114"/>
  <c r="K102" i="112"/>
  <c r="K102" i="114"/>
  <c r="K65" i="113"/>
  <c r="K103" i="112"/>
  <c r="K103" i="114"/>
  <c r="K66" i="113"/>
  <c r="K112" i="112"/>
  <c r="K112" i="114"/>
  <c r="K41" i="105"/>
  <c r="K71" i="82"/>
  <c r="K43" i="105"/>
  <c r="K73" i="82"/>
  <c r="K33" i="105"/>
  <c r="K31" i="105"/>
  <c r="K36" i="106"/>
  <c r="K76" i="82"/>
  <c r="K38" i="106"/>
  <c r="K78" i="82"/>
  <c r="K68" i="105"/>
  <c r="K128" i="82"/>
  <c r="K66" i="105"/>
  <c r="K126" i="82"/>
  <c r="K17" i="106"/>
  <c r="K62" i="82"/>
  <c r="K42" i="105"/>
  <c r="K72" i="82"/>
  <c r="K32" i="105"/>
  <c r="K37" i="106"/>
  <c r="K77" i="82"/>
  <c r="K67" i="105"/>
  <c r="K127" i="82"/>
  <c r="K61" i="106"/>
  <c r="K46" i="82"/>
  <c r="K62" i="106"/>
  <c r="K47" i="82"/>
  <c r="K67" i="106"/>
  <c r="K92" i="82"/>
  <c r="K72" i="105"/>
  <c r="K117" i="82"/>
  <c r="K77" i="105"/>
  <c r="K42" i="82"/>
  <c r="K63" i="106"/>
  <c r="K48" i="82"/>
  <c r="K66" i="106"/>
  <c r="K91" i="82"/>
  <c r="K68" i="106"/>
  <c r="K93" i="82"/>
  <c r="K71" i="105"/>
  <c r="K116" i="82"/>
  <c r="K73" i="105"/>
  <c r="K118" i="82"/>
  <c r="K76" i="105"/>
  <c r="K41" i="82"/>
  <c r="K78" i="105"/>
  <c r="K43" i="82"/>
  <c r="G47" i="47"/>
  <c r="F101" i="112" s="1"/>
  <c r="H52" i="47"/>
  <c r="F67" i="112" s="1"/>
  <c r="H58" i="47"/>
  <c r="F62" i="112" s="1"/>
  <c r="H59" i="47"/>
  <c r="H60" i="47"/>
  <c r="F92" i="112" s="1"/>
  <c r="H61" i="47"/>
  <c r="H62" i="47"/>
  <c r="G60" i="51"/>
  <c r="H60" i="51"/>
  <c r="G61" i="51"/>
  <c r="H61" i="51"/>
  <c r="G62" i="51"/>
  <c r="H62" i="51"/>
  <c r="G63" i="51"/>
  <c r="H63" i="51"/>
  <c r="G64" i="51"/>
  <c r="H64" i="51"/>
  <c r="G65" i="51"/>
  <c r="H65" i="51"/>
  <c r="G66" i="51"/>
  <c r="H66" i="51"/>
  <c r="G67" i="51"/>
  <c r="H67" i="51"/>
  <c r="G59" i="51"/>
  <c r="H59" i="51"/>
  <c r="F72" i="112" l="1"/>
  <c r="F15" i="113"/>
  <c r="F37" i="114"/>
  <c r="F52" i="112"/>
  <c r="F87" i="112"/>
  <c r="F62" i="114"/>
  <c r="F30" i="113"/>
  <c r="F56" i="106"/>
  <c r="F66" i="82"/>
  <c r="F147" i="82"/>
  <c r="F27" i="105"/>
  <c r="F82" i="82"/>
  <c r="F27" i="106"/>
  <c r="F31" i="82"/>
  <c r="F87" i="82"/>
  <c r="F62" i="105"/>
  <c r="F112" i="82"/>
  <c r="F47" i="105"/>
  <c r="O68" i="105"/>
  <c r="O128" i="82"/>
  <c r="O143" i="82"/>
  <c r="O78" i="106"/>
  <c r="O138" i="82"/>
  <c r="O66" i="105"/>
  <c r="O126" i="82"/>
  <c r="O141" i="82"/>
  <c r="O76" i="106"/>
  <c r="O136" i="82"/>
  <c r="O98" i="82"/>
  <c r="O96" i="82"/>
  <c r="O93" i="82"/>
  <c r="O91" i="82"/>
  <c r="O48" i="82"/>
  <c r="G68" i="51"/>
  <c r="G69" i="51"/>
  <c r="G70" i="51"/>
  <c r="G71" i="51"/>
  <c r="G72" i="51"/>
  <c r="G73" i="51"/>
  <c r="G74" i="51"/>
  <c r="H74" i="51"/>
  <c r="G75" i="51"/>
  <c r="H75" i="51"/>
  <c r="G76" i="51"/>
  <c r="H76" i="51"/>
  <c r="G77" i="51"/>
  <c r="H77" i="51"/>
  <c r="G78" i="51"/>
  <c r="H78" i="51"/>
  <c r="G79" i="51"/>
  <c r="H79" i="51"/>
  <c r="G80" i="51"/>
  <c r="H80" i="51"/>
  <c r="G81" i="51"/>
  <c r="H81" i="51"/>
  <c r="G82" i="51"/>
  <c r="H82" i="51"/>
  <c r="G83" i="51"/>
  <c r="H83" i="51"/>
  <c r="G84" i="51"/>
  <c r="H84" i="51"/>
  <c r="G85" i="51"/>
  <c r="H85" i="51"/>
  <c r="G86" i="51"/>
  <c r="H86" i="51"/>
  <c r="G56" i="51"/>
  <c r="H56" i="51"/>
  <c r="G57" i="51"/>
  <c r="H57" i="51"/>
  <c r="G58" i="51"/>
  <c r="H58" i="51"/>
  <c r="H68" i="51"/>
  <c r="H69" i="51"/>
  <c r="H70" i="51"/>
  <c r="H71" i="51"/>
  <c r="H72" i="51"/>
  <c r="H73" i="51"/>
  <c r="O73" i="106" l="1"/>
  <c r="O73" i="105"/>
  <c r="O28" i="82"/>
  <c r="O71" i="106"/>
  <c r="O71" i="105"/>
  <c r="O43" i="82"/>
  <c r="O123" i="82"/>
  <c r="O121" i="82"/>
  <c r="O46" i="82"/>
  <c r="F16" i="62"/>
  <c r="F22" i="114" l="1"/>
  <c r="F22" i="112"/>
  <c r="F25" i="113"/>
  <c r="F52" i="114"/>
  <c r="F37" i="112"/>
  <c r="F127" i="82"/>
  <c r="F67" i="105"/>
  <c r="F22" i="105"/>
  <c r="F132" i="82"/>
  <c r="F47" i="82"/>
  <c r="F62" i="106"/>
  <c r="F57" i="82"/>
  <c r="F37" i="105"/>
  <c r="F22" i="82"/>
  <c r="F32" i="105"/>
  <c r="F97" i="82"/>
  <c r="F82" i="106"/>
  <c r="F72" i="82"/>
  <c r="F42" i="105"/>
  <c r="F137" i="82"/>
  <c r="F77" i="106"/>
  <c r="F122" i="82"/>
  <c r="F72" i="106"/>
  <c r="F92" i="82"/>
  <c r="F67" i="106"/>
  <c r="F77" i="82"/>
  <c r="F37" i="106"/>
  <c r="I41" i="112"/>
  <c r="I43" i="112"/>
  <c r="I96" i="112"/>
  <c r="I98" i="112"/>
  <c r="I21" i="112"/>
  <c r="I23" i="112"/>
  <c r="I121" i="112"/>
  <c r="I123" i="112"/>
  <c r="I81" i="112" l="1"/>
  <c r="I86" i="114"/>
  <c r="I54" i="113"/>
  <c r="I51" i="112"/>
  <c r="I14" i="113"/>
  <c r="I36" i="114"/>
  <c r="I18" i="112"/>
  <c r="I83" i="114"/>
  <c r="I51" i="113"/>
  <c r="I78" i="112"/>
  <c r="I83" i="112"/>
  <c r="I53" i="112"/>
  <c r="I38" i="114"/>
  <c r="I16" i="113"/>
  <c r="I26" i="112"/>
  <c r="I29" i="113"/>
  <c r="I61" i="114"/>
  <c r="I61" i="112"/>
  <c r="I88" i="114"/>
  <c r="I56" i="113"/>
  <c r="I28" i="112"/>
  <c r="I63" i="114"/>
  <c r="I31" i="113"/>
  <c r="I63" i="112"/>
  <c r="I16" i="112"/>
  <c r="I81" i="114"/>
  <c r="I49" i="113"/>
  <c r="I76" i="112"/>
  <c r="I21" i="106"/>
  <c r="I106" i="112"/>
  <c r="I23" i="106"/>
  <c r="I108" i="112"/>
  <c r="I76" i="105"/>
  <c r="I41" i="82"/>
  <c r="I78" i="105"/>
  <c r="I66" i="106"/>
  <c r="I68" i="106"/>
  <c r="I81" i="106"/>
  <c r="I83" i="106"/>
  <c r="I116" i="82"/>
  <c r="I71" i="105"/>
  <c r="I118" i="82"/>
  <c r="I73" i="105"/>
  <c r="I71" i="106"/>
  <c r="I73" i="106"/>
  <c r="I21" i="105"/>
  <c r="I131" i="82"/>
  <c r="I23" i="105"/>
  <c r="I133" i="82"/>
  <c r="I16" i="105"/>
  <c r="I18" i="105"/>
  <c r="I51" i="105"/>
  <c r="I101" i="82"/>
  <c r="I53" i="105"/>
  <c r="I103" i="82"/>
  <c r="I16" i="106"/>
  <c r="I61" i="82"/>
  <c r="I18" i="106"/>
  <c r="I63" i="82"/>
  <c r="I41" i="106"/>
  <c r="I51" i="82"/>
  <c r="I43" i="106"/>
  <c r="I53" i="82"/>
  <c r="I46" i="106"/>
  <c r="I36" i="82"/>
  <c r="I48" i="106"/>
  <c r="I38" i="82"/>
  <c r="I31" i="106"/>
  <c r="I33" i="106"/>
  <c r="I46" i="105"/>
  <c r="I48" i="105"/>
  <c r="I61" i="105"/>
  <c r="I63" i="105"/>
  <c r="I26" i="106"/>
  <c r="I81" i="82"/>
  <c r="I28" i="106"/>
  <c r="I83" i="82"/>
  <c r="I36" i="106"/>
  <c r="I38" i="106"/>
  <c r="I41" i="105"/>
  <c r="I71" i="82"/>
  <c r="I43" i="105"/>
  <c r="I73" i="82"/>
  <c r="I36" i="105"/>
  <c r="I56" i="82"/>
  <c r="I38" i="105"/>
  <c r="I58" i="82"/>
  <c r="I56" i="105"/>
  <c r="I58" i="105"/>
  <c r="I31" i="105"/>
  <c r="I33" i="105"/>
  <c r="I33" i="82"/>
  <c r="I31" i="82"/>
  <c r="I28" i="82"/>
  <c r="I26" i="82"/>
  <c r="I108" i="82"/>
  <c r="I106" i="82"/>
  <c r="I123" i="82"/>
  <c r="I121" i="82"/>
  <c r="I98" i="82"/>
  <c r="I96" i="82"/>
  <c r="I88" i="82"/>
  <c r="I86" i="82"/>
  <c r="I93" i="82"/>
  <c r="I91" i="82"/>
  <c r="I78" i="82"/>
  <c r="I76" i="82"/>
  <c r="I113" i="82"/>
  <c r="I111" i="82"/>
  <c r="S160" i="63"/>
  <c r="C160" i="63"/>
  <c r="AD159" i="63"/>
  <c r="AC159" i="63"/>
  <c r="AB159" i="63"/>
  <c r="AA159" i="63"/>
  <c r="Z159" i="63"/>
  <c r="Y159" i="63"/>
  <c r="X159" i="63"/>
  <c r="W159" i="63"/>
  <c r="V159" i="63"/>
  <c r="U159" i="63"/>
  <c r="S159" i="63"/>
  <c r="C159" i="63"/>
  <c r="S158" i="63"/>
  <c r="C158" i="63"/>
  <c r="S157" i="63"/>
  <c r="D157" i="63"/>
  <c r="C157" i="63"/>
  <c r="S156" i="63"/>
  <c r="Q156" i="63"/>
  <c r="D156" i="63"/>
  <c r="C156" i="63"/>
  <c r="C155" i="63"/>
  <c r="C154" i="63"/>
  <c r="O153" i="63"/>
  <c r="N153" i="63"/>
  <c r="M153" i="63"/>
  <c r="K153" i="63"/>
  <c r="I153" i="63"/>
  <c r="H153" i="63"/>
  <c r="G153" i="63"/>
  <c r="F153" i="63"/>
  <c r="C153" i="63"/>
  <c r="K152" i="63"/>
  <c r="G152" i="63"/>
  <c r="F152" i="63"/>
  <c r="D152" i="63"/>
  <c r="C152" i="63"/>
  <c r="O151" i="63"/>
  <c r="N151" i="63"/>
  <c r="M151" i="63"/>
  <c r="K151" i="63"/>
  <c r="I151" i="63"/>
  <c r="H151" i="63"/>
  <c r="G151" i="63"/>
  <c r="F151" i="63"/>
  <c r="D151" i="63"/>
  <c r="C151" i="63"/>
  <c r="C150" i="63"/>
  <c r="C149" i="63"/>
  <c r="O148" i="63"/>
  <c r="N148" i="63"/>
  <c r="M148" i="63"/>
  <c r="I148" i="63"/>
  <c r="H148" i="63"/>
  <c r="G148" i="63"/>
  <c r="F148" i="63"/>
  <c r="C148" i="63"/>
  <c r="G147" i="63"/>
  <c r="F147" i="63"/>
  <c r="D147" i="63"/>
  <c r="C147" i="63"/>
  <c r="O146" i="63"/>
  <c r="N146" i="63"/>
  <c r="M146" i="63"/>
  <c r="I146" i="63"/>
  <c r="H146" i="63"/>
  <c r="G146" i="63"/>
  <c r="F146" i="63"/>
  <c r="D146" i="63"/>
  <c r="C146" i="63"/>
  <c r="C145" i="63"/>
  <c r="C144" i="63"/>
  <c r="M143" i="63"/>
  <c r="I143" i="63"/>
  <c r="C143" i="63"/>
  <c r="F142" i="63"/>
  <c r="D142" i="63"/>
  <c r="C142" i="63"/>
  <c r="M141" i="63"/>
  <c r="I141" i="63"/>
  <c r="D141" i="63"/>
  <c r="C141" i="63"/>
  <c r="C140" i="63"/>
  <c r="C139" i="63"/>
  <c r="O138" i="63"/>
  <c r="N138" i="63"/>
  <c r="M138" i="63"/>
  <c r="K138" i="63"/>
  <c r="I138" i="63"/>
  <c r="H138" i="63"/>
  <c r="G138" i="63"/>
  <c r="F138" i="63"/>
  <c r="C138" i="63"/>
  <c r="K137" i="63"/>
  <c r="G137" i="63"/>
  <c r="F137" i="63"/>
  <c r="D137" i="63"/>
  <c r="C137" i="63"/>
  <c r="O136" i="63"/>
  <c r="N136" i="63"/>
  <c r="M136" i="63"/>
  <c r="K136" i="63"/>
  <c r="I136" i="63"/>
  <c r="H136" i="63"/>
  <c r="G136" i="63"/>
  <c r="F136" i="63"/>
  <c r="D136" i="63"/>
  <c r="C136" i="63"/>
  <c r="C135" i="63"/>
  <c r="C134" i="63"/>
  <c r="M133" i="63"/>
  <c r="C133" i="63"/>
  <c r="D132" i="63"/>
  <c r="C132" i="63"/>
  <c r="M131" i="63"/>
  <c r="D131" i="63"/>
  <c r="C131" i="63"/>
  <c r="C130" i="63"/>
  <c r="C129" i="63"/>
  <c r="M128" i="63"/>
  <c r="I128" i="63"/>
  <c r="C128" i="63"/>
  <c r="F127" i="63"/>
  <c r="D127" i="63"/>
  <c r="C127" i="63"/>
  <c r="M126" i="63"/>
  <c r="I126" i="63"/>
  <c r="D126" i="63"/>
  <c r="C126" i="63"/>
  <c r="C125" i="63"/>
  <c r="C124" i="63"/>
  <c r="N123" i="63"/>
  <c r="M123" i="63"/>
  <c r="I123" i="63"/>
  <c r="H123" i="63"/>
  <c r="G123" i="63"/>
  <c r="C123" i="63"/>
  <c r="G122" i="63"/>
  <c r="F122" i="63"/>
  <c r="D122" i="63"/>
  <c r="C122" i="63"/>
  <c r="N121" i="63"/>
  <c r="M121" i="63"/>
  <c r="I121" i="63"/>
  <c r="H121" i="63"/>
  <c r="G121" i="63"/>
  <c r="D121" i="63"/>
  <c r="C121" i="63"/>
  <c r="C120" i="63"/>
  <c r="C119" i="63"/>
  <c r="M118" i="63"/>
  <c r="I118" i="63"/>
  <c r="H118" i="63"/>
  <c r="G118" i="63"/>
  <c r="C118" i="63"/>
  <c r="G117" i="63"/>
  <c r="F117" i="63"/>
  <c r="D117" i="63"/>
  <c r="C117" i="63"/>
  <c r="M116" i="63"/>
  <c r="I116" i="63"/>
  <c r="H116" i="63"/>
  <c r="G116" i="63"/>
  <c r="D116" i="63"/>
  <c r="C116" i="63"/>
  <c r="C115" i="63"/>
  <c r="C114" i="63"/>
  <c r="O113" i="63"/>
  <c r="M113" i="63"/>
  <c r="I113" i="63"/>
  <c r="C113" i="63"/>
  <c r="F112" i="63"/>
  <c r="D112" i="63"/>
  <c r="C112" i="63"/>
  <c r="O111" i="63"/>
  <c r="M111" i="63"/>
  <c r="I111" i="63"/>
  <c r="D111" i="63"/>
  <c r="C111" i="63"/>
  <c r="C110" i="63"/>
  <c r="C109" i="63"/>
  <c r="M108" i="63"/>
  <c r="I108" i="63"/>
  <c r="C108" i="63"/>
  <c r="D107" i="63"/>
  <c r="C107" i="63"/>
  <c r="M106" i="63"/>
  <c r="I106" i="63"/>
  <c r="D106" i="63"/>
  <c r="C106" i="63"/>
  <c r="C105" i="63"/>
  <c r="C104" i="63"/>
  <c r="O103" i="63"/>
  <c r="N103" i="63"/>
  <c r="M103" i="63"/>
  <c r="L103" i="63"/>
  <c r="K103" i="63"/>
  <c r="I103" i="63"/>
  <c r="H103" i="63"/>
  <c r="G103" i="63"/>
  <c r="F103" i="63"/>
  <c r="C103" i="63"/>
  <c r="K102" i="63"/>
  <c r="G102" i="63"/>
  <c r="F102" i="63"/>
  <c r="D102" i="63"/>
  <c r="C102" i="63"/>
  <c r="O101" i="63"/>
  <c r="N101" i="63"/>
  <c r="M101" i="63"/>
  <c r="L101" i="63"/>
  <c r="K101" i="63"/>
  <c r="I101" i="63"/>
  <c r="H101" i="63"/>
  <c r="G101" i="63"/>
  <c r="F101" i="63"/>
  <c r="D101" i="63"/>
  <c r="C101" i="63"/>
  <c r="C100" i="63"/>
  <c r="C99" i="63"/>
  <c r="O98" i="63"/>
  <c r="M98" i="63"/>
  <c r="I98" i="63"/>
  <c r="H98" i="63"/>
  <c r="G98" i="63"/>
  <c r="F98" i="63"/>
  <c r="C98" i="63"/>
  <c r="G97" i="63"/>
  <c r="F97" i="63"/>
  <c r="D97" i="63"/>
  <c r="C97" i="63"/>
  <c r="O96" i="63"/>
  <c r="M96" i="63"/>
  <c r="I96" i="63"/>
  <c r="H96" i="63"/>
  <c r="G96" i="63"/>
  <c r="F96" i="63"/>
  <c r="D96" i="63"/>
  <c r="C96" i="63"/>
  <c r="C95" i="63"/>
  <c r="C94" i="63"/>
  <c r="M93" i="63"/>
  <c r="I93" i="63"/>
  <c r="C93" i="63"/>
  <c r="D92" i="63"/>
  <c r="C92" i="63"/>
  <c r="M91" i="63"/>
  <c r="I91" i="63"/>
  <c r="F91" i="63"/>
  <c r="D91" i="63"/>
  <c r="C91" i="63"/>
  <c r="C90" i="63"/>
  <c r="C89" i="63"/>
  <c r="O88" i="63"/>
  <c r="N88" i="63"/>
  <c r="M88" i="63"/>
  <c r="I88" i="63"/>
  <c r="H88" i="63"/>
  <c r="G88" i="63"/>
  <c r="F88" i="63"/>
  <c r="C88" i="63"/>
  <c r="G87" i="63"/>
  <c r="F87" i="63"/>
  <c r="D87" i="63"/>
  <c r="C87" i="63"/>
  <c r="O86" i="63"/>
  <c r="N86" i="63"/>
  <c r="M86" i="63"/>
  <c r="I86" i="63"/>
  <c r="H86" i="63"/>
  <c r="G86" i="63"/>
  <c r="F86" i="63"/>
  <c r="D86" i="63"/>
  <c r="C86" i="63"/>
  <c r="C85" i="63"/>
  <c r="C84" i="63"/>
  <c r="O83" i="63"/>
  <c r="M83" i="63"/>
  <c r="I83" i="63"/>
  <c r="C83" i="63"/>
  <c r="F82" i="63"/>
  <c r="D82" i="63"/>
  <c r="C82" i="63"/>
  <c r="O81" i="63"/>
  <c r="M81" i="63"/>
  <c r="I81" i="63"/>
  <c r="C81" i="63"/>
  <c r="C80" i="63"/>
  <c r="C79" i="63"/>
  <c r="O78" i="63"/>
  <c r="M78" i="63"/>
  <c r="K78" i="63"/>
  <c r="I78" i="63"/>
  <c r="C78" i="63"/>
  <c r="K77" i="63"/>
  <c r="F77" i="63"/>
  <c r="D77" i="63"/>
  <c r="C77" i="63"/>
  <c r="O76" i="63"/>
  <c r="M76" i="63"/>
  <c r="K76" i="63"/>
  <c r="I76" i="63"/>
  <c r="D76" i="63"/>
  <c r="C76" i="63"/>
  <c r="C75" i="63"/>
  <c r="C74" i="63"/>
  <c r="M73" i="63"/>
  <c r="I73" i="63"/>
  <c r="C73" i="63"/>
  <c r="D72" i="63"/>
  <c r="C72" i="63"/>
  <c r="M71" i="63"/>
  <c r="I71" i="63"/>
  <c r="D71" i="63"/>
  <c r="C71" i="63"/>
  <c r="C70" i="63"/>
  <c r="C69" i="63"/>
  <c r="O68" i="63"/>
  <c r="M68" i="63"/>
  <c r="I68" i="63"/>
  <c r="C68" i="63"/>
  <c r="F67" i="63"/>
  <c r="D67" i="63"/>
  <c r="C67" i="63"/>
  <c r="O66" i="63"/>
  <c r="M66" i="63"/>
  <c r="I66" i="63"/>
  <c r="D66" i="63"/>
  <c r="C66" i="63"/>
  <c r="C65" i="63"/>
  <c r="C64" i="63"/>
  <c r="O63" i="63"/>
  <c r="N63" i="63"/>
  <c r="M63" i="63"/>
  <c r="L63" i="63"/>
  <c r="K63" i="63"/>
  <c r="I63" i="63"/>
  <c r="C63" i="63"/>
  <c r="K62" i="63"/>
  <c r="F62" i="63"/>
  <c r="D62" i="63"/>
  <c r="C62" i="63"/>
  <c r="O61" i="63"/>
  <c r="N61" i="63"/>
  <c r="M61" i="63"/>
  <c r="L61" i="63"/>
  <c r="K61" i="63"/>
  <c r="I61" i="63"/>
  <c r="D61" i="63"/>
  <c r="C61" i="63"/>
  <c r="C60" i="63"/>
  <c r="C59" i="63"/>
  <c r="O58" i="63"/>
  <c r="M58" i="63"/>
  <c r="I58" i="63"/>
  <c r="C58" i="63"/>
  <c r="F57" i="63"/>
  <c r="D57" i="63"/>
  <c r="C57" i="63"/>
  <c r="O56" i="63"/>
  <c r="M56" i="63"/>
  <c r="I56" i="63"/>
  <c r="D56" i="63"/>
  <c r="C56" i="63"/>
  <c r="C55" i="63"/>
  <c r="C54" i="63"/>
  <c r="M53" i="63"/>
  <c r="I53" i="63"/>
  <c r="C53" i="63"/>
  <c r="D52" i="63"/>
  <c r="C52" i="63"/>
  <c r="M51" i="63"/>
  <c r="I51" i="63"/>
  <c r="D51" i="63"/>
  <c r="C51" i="63"/>
  <c r="C50" i="63"/>
  <c r="C49" i="63"/>
  <c r="M48" i="63"/>
  <c r="I48" i="63"/>
  <c r="C48" i="63"/>
  <c r="F47" i="63"/>
  <c r="D47" i="63"/>
  <c r="C47" i="63"/>
  <c r="M46" i="63"/>
  <c r="I46" i="63"/>
  <c r="D46" i="63"/>
  <c r="C46" i="63"/>
  <c r="C45" i="63"/>
  <c r="C44" i="63"/>
  <c r="M43" i="63"/>
  <c r="I43" i="63"/>
  <c r="C43" i="63"/>
  <c r="F42" i="63"/>
  <c r="D42" i="63"/>
  <c r="C42" i="63"/>
  <c r="M41" i="63"/>
  <c r="I41" i="63"/>
  <c r="C41" i="63"/>
  <c r="C40" i="63"/>
  <c r="C39" i="63"/>
  <c r="M38" i="63"/>
  <c r="I38" i="63"/>
  <c r="H38" i="63"/>
  <c r="G38" i="63"/>
  <c r="F38" i="63"/>
  <c r="C38" i="63"/>
  <c r="G37" i="63"/>
  <c r="F37" i="63"/>
  <c r="D37" i="63"/>
  <c r="C37" i="63"/>
  <c r="M36" i="63"/>
  <c r="I36" i="63"/>
  <c r="H36" i="63"/>
  <c r="G36" i="63"/>
  <c r="F36" i="63"/>
  <c r="D36" i="63"/>
  <c r="C36" i="63"/>
  <c r="C35" i="63"/>
  <c r="C34" i="63"/>
  <c r="M33" i="63"/>
  <c r="I33" i="63"/>
  <c r="G33" i="63"/>
  <c r="C33" i="63"/>
  <c r="G32" i="63"/>
  <c r="D32" i="63"/>
  <c r="C32" i="63"/>
  <c r="M31" i="63"/>
  <c r="I31" i="63"/>
  <c r="G31" i="63"/>
  <c r="D31" i="63"/>
  <c r="C31" i="63"/>
  <c r="C30" i="63"/>
  <c r="C29" i="63"/>
  <c r="M28" i="63"/>
  <c r="I28" i="63"/>
  <c r="H28" i="63"/>
  <c r="G28" i="63"/>
  <c r="F28" i="63"/>
  <c r="C28" i="63"/>
  <c r="G27" i="63"/>
  <c r="F27" i="63"/>
  <c r="D27" i="63"/>
  <c r="C27" i="63"/>
  <c r="M26" i="63"/>
  <c r="I26" i="63"/>
  <c r="H26" i="63"/>
  <c r="G26" i="63"/>
  <c r="F26" i="63"/>
  <c r="D26" i="63"/>
  <c r="C26" i="63"/>
  <c r="C25" i="63"/>
  <c r="C24" i="63"/>
  <c r="M23" i="63"/>
  <c r="I23" i="63"/>
  <c r="H23" i="63"/>
  <c r="G23" i="63"/>
  <c r="F23" i="63"/>
  <c r="C23" i="63"/>
  <c r="F22" i="63"/>
  <c r="D22" i="63"/>
  <c r="C22" i="63"/>
  <c r="M21" i="63"/>
  <c r="I21" i="63"/>
  <c r="H21" i="63"/>
  <c r="G21" i="63"/>
  <c r="F21" i="63"/>
  <c r="D21" i="63"/>
  <c r="C21" i="63"/>
  <c r="C20" i="63"/>
  <c r="C19" i="63"/>
  <c r="M18" i="63"/>
  <c r="I18" i="63"/>
  <c r="H18" i="63"/>
  <c r="G18" i="63"/>
  <c r="F18" i="63"/>
  <c r="C18" i="63"/>
  <c r="G17" i="63"/>
  <c r="F17" i="63"/>
  <c r="D17" i="63"/>
  <c r="C17" i="63"/>
  <c r="M16" i="63"/>
  <c r="I16" i="63"/>
  <c r="H16" i="63"/>
  <c r="G16" i="63"/>
  <c r="F16" i="63"/>
  <c r="D16" i="63"/>
  <c r="C16" i="63"/>
  <c r="L11" i="63"/>
  <c r="K11" i="63"/>
  <c r="G11" i="63"/>
  <c r="F11" i="63"/>
  <c r="L10" i="63"/>
  <c r="K10" i="63"/>
  <c r="G10" i="63"/>
  <c r="F10" i="63"/>
  <c r="C10" i="63"/>
  <c r="O9" i="63"/>
  <c r="N9" i="63"/>
  <c r="L9" i="63"/>
  <c r="K9" i="63"/>
  <c r="G9" i="63"/>
  <c r="F9" i="63"/>
  <c r="C9" i="63"/>
  <c r="O8" i="63"/>
  <c r="N8" i="63"/>
  <c r="L8" i="63"/>
  <c r="K8" i="63"/>
  <c r="G8" i="63"/>
  <c r="F8" i="63"/>
  <c r="C8" i="63"/>
  <c r="O7" i="63"/>
  <c r="N7" i="63"/>
  <c r="L7" i="63"/>
  <c r="K7" i="63"/>
  <c r="G7" i="63"/>
  <c r="F7" i="63"/>
  <c r="O6" i="63"/>
  <c r="K6" i="63"/>
  <c r="F6" i="63"/>
  <c r="A6" i="63"/>
  <c r="A5" i="63"/>
  <c r="A3" i="63"/>
  <c r="A2" i="63"/>
  <c r="A1" i="63"/>
  <c r="N104" i="63" l="1"/>
  <c r="AC104" i="63" s="1"/>
  <c r="O104" i="63"/>
  <c r="AD104" i="63" s="1"/>
  <c r="F19" i="63"/>
  <c r="F24" i="63"/>
  <c r="F29" i="63"/>
  <c r="F39" i="63"/>
  <c r="F89" i="63"/>
  <c r="F99" i="63"/>
  <c r="P101" i="63"/>
  <c r="F104" i="63"/>
  <c r="J104" i="63"/>
  <c r="K104" i="63"/>
  <c r="K139" i="63"/>
  <c r="F139" i="63"/>
  <c r="J139" i="63"/>
  <c r="F149" i="63"/>
  <c r="J149" i="63"/>
  <c r="F154" i="63"/>
  <c r="J154" i="63"/>
  <c r="K154" i="63"/>
  <c r="Z154" i="63" l="1"/>
  <c r="U154" i="63"/>
  <c r="G154" i="63"/>
  <c r="Y149" i="63"/>
  <c r="Y139" i="63"/>
  <c r="Z139" i="63"/>
  <c r="U104" i="63"/>
  <c r="G104" i="63"/>
  <c r="U29" i="63"/>
  <c r="G29" i="63"/>
  <c r="U24" i="63"/>
  <c r="G24" i="63"/>
  <c r="U19" i="63"/>
  <c r="G19" i="63"/>
  <c r="Y154" i="63"/>
  <c r="U149" i="63"/>
  <c r="G149" i="63"/>
  <c r="U139" i="63"/>
  <c r="G139" i="63"/>
  <c r="Z104" i="63"/>
  <c r="L104" i="63"/>
  <c r="Y104" i="63"/>
  <c r="Q101" i="63"/>
  <c r="U99" i="63"/>
  <c r="G99" i="63"/>
  <c r="U89" i="63"/>
  <c r="G89" i="63"/>
  <c r="U39" i="63"/>
  <c r="G39" i="63"/>
  <c r="F20" i="63" l="1"/>
  <c r="F25" i="63"/>
  <c r="F90" i="63"/>
  <c r="V99" i="63"/>
  <c r="H99" i="63"/>
  <c r="V139" i="63"/>
  <c r="H139" i="63"/>
  <c r="F140" i="63"/>
  <c r="V149" i="63"/>
  <c r="H149" i="63"/>
  <c r="F150" i="63"/>
  <c r="V19" i="63"/>
  <c r="H19" i="63"/>
  <c r="V29" i="63"/>
  <c r="H29" i="63"/>
  <c r="F105" i="63"/>
  <c r="V154" i="63"/>
  <c r="H154" i="63"/>
  <c r="V39" i="63"/>
  <c r="H39" i="63"/>
  <c r="F40" i="63"/>
  <c r="V89" i="63"/>
  <c r="H89" i="63"/>
  <c r="F100" i="63"/>
  <c r="AA104" i="63"/>
  <c r="M104" i="63"/>
  <c r="H24" i="63"/>
  <c r="V24" i="63"/>
  <c r="F30" i="63"/>
  <c r="V104" i="63"/>
  <c r="H104" i="63"/>
  <c r="F155" i="63"/>
  <c r="G140" i="63" l="1"/>
  <c r="W104" i="63"/>
  <c r="I104" i="63"/>
  <c r="G105" i="63"/>
  <c r="W24" i="63"/>
  <c r="I24" i="63"/>
  <c r="W89" i="63"/>
  <c r="I89" i="63"/>
  <c r="G90" i="63"/>
  <c r="G40" i="63"/>
  <c r="W154" i="63"/>
  <c r="I154" i="63"/>
  <c r="G155" i="63"/>
  <c r="W29" i="63"/>
  <c r="I29" i="63"/>
  <c r="G30" i="63"/>
  <c r="W19" i="63"/>
  <c r="I19" i="63"/>
  <c r="G20" i="63"/>
  <c r="I149" i="63"/>
  <c r="W149" i="63"/>
  <c r="G25" i="63"/>
  <c r="AB104" i="63"/>
  <c r="W39" i="63"/>
  <c r="I39" i="63"/>
  <c r="G150" i="63"/>
  <c r="I139" i="63"/>
  <c r="W139" i="63"/>
  <c r="W99" i="63"/>
  <c r="I99" i="63"/>
  <c r="G100" i="63"/>
  <c r="H140" i="63" l="1"/>
  <c r="H20" i="63"/>
  <c r="H40" i="63"/>
  <c r="X99" i="63"/>
  <c r="X139" i="63"/>
  <c r="X39" i="63"/>
  <c r="X149" i="63"/>
  <c r="X19" i="63"/>
  <c r="X29" i="63"/>
  <c r="H155" i="63"/>
  <c r="H90" i="63"/>
  <c r="X24" i="63"/>
  <c r="X104" i="63"/>
  <c r="H100" i="63"/>
  <c r="H150" i="63"/>
  <c r="H30" i="63"/>
  <c r="X154" i="63"/>
  <c r="X89" i="63"/>
  <c r="H25" i="63"/>
  <c r="H105" i="63"/>
  <c r="I25" i="63" l="1"/>
  <c r="I140" i="63"/>
  <c r="I30" i="63"/>
  <c r="I20" i="63"/>
  <c r="I40" i="63"/>
  <c r="I90" i="63"/>
  <c r="I155" i="63"/>
  <c r="I105" i="63"/>
  <c r="I150" i="63"/>
  <c r="I100" i="63"/>
  <c r="S155" i="62" l="1"/>
  <c r="C155" i="62"/>
  <c r="S154" i="62"/>
  <c r="C154" i="62"/>
  <c r="S153" i="62"/>
  <c r="C153" i="62"/>
  <c r="S152" i="62"/>
  <c r="D152" i="62"/>
  <c r="C152" i="62"/>
  <c r="S151" i="62"/>
  <c r="D151" i="62"/>
  <c r="C151" i="62"/>
  <c r="C150" i="62"/>
  <c r="C149" i="62"/>
  <c r="N148" i="62"/>
  <c r="M148" i="62"/>
  <c r="K148" i="62"/>
  <c r="I148" i="62"/>
  <c r="G148" i="62"/>
  <c r="F148" i="62"/>
  <c r="C148" i="62"/>
  <c r="K147" i="62"/>
  <c r="G147" i="62"/>
  <c r="F147" i="62"/>
  <c r="D147" i="62"/>
  <c r="C147" i="62"/>
  <c r="O146" i="62"/>
  <c r="N146" i="62"/>
  <c r="M146" i="62"/>
  <c r="K146" i="62"/>
  <c r="I146" i="62"/>
  <c r="G146" i="62"/>
  <c r="F146" i="62"/>
  <c r="D146" i="62"/>
  <c r="C146" i="62"/>
  <c r="C145" i="62"/>
  <c r="C144" i="62"/>
  <c r="N143" i="62"/>
  <c r="M143" i="62"/>
  <c r="I143" i="62"/>
  <c r="G143" i="62"/>
  <c r="F143" i="62"/>
  <c r="C143" i="62"/>
  <c r="G142" i="62"/>
  <c r="F142" i="62"/>
  <c r="D142" i="62"/>
  <c r="C142" i="62"/>
  <c r="O141" i="62"/>
  <c r="N141" i="62"/>
  <c r="M141" i="62"/>
  <c r="I141" i="62"/>
  <c r="G141" i="62"/>
  <c r="F141" i="62"/>
  <c r="D141" i="62"/>
  <c r="C141" i="62"/>
  <c r="C140" i="62"/>
  <c r="C139" i="62"/>
  <c r="N138" i="62"/>
  <c r="M138" i="62"/>
  <c r="K138" i="62"/>
  <c r="I138" i="62"/>
  <c r="G138" i="62"/>
  <c r="F138" i="62"/>
  <c r="C138" i="62"/>
  <c r="K137" i="62"/>
  <c r="G137" i="62"/>
  <c r="F137" i="62"/>
  <c r="D137" i="62"/>
  <c r="C137" i="62"/>
  <c r="O136" i="62"/>
  <c r="N136" i="62"/>
  <c r="M136" i="62"/>
  <c r="K136" i="62"/>
  <c r="I136" i="62"/>
  <c r="G136" i="62"/>
  <c r="F136" i="62"/>
  <c r="D136" i="62"/>
  <c r="C136" i="62"/>
  <c r="C135" i="62"/>
  <c r="C134" i="62"/>
  <c r="M133" i="62"/>
  <c r="I133" i="62"/>
  <c r="C133" i="62"/>
  <c r="D132" i="62"/>
  <c r="C132" i="62"/>
  <c r="M131" i="62"/>
  <c r="I131" i="62"/>
  <c r="D131" i="62"/>
  <c r="C131" i="62"/>
  <c r="C130" i="62"/>
  <c r="C129" i="62"/>
  <c r="M128" i="62"/>
  <c r="I128" i="62"/>
  <c r="C128" i="62"/>
  <c r="F127" i="62"/>
  <c r="D127" i="62"/>
  <c r="C127" i="62"/>
  <c r="M126" i="62"/>
  <c r="I126" i="62"/>
  <c r="D126" i="62"/>
  <c r="C126" i="62"/>
  <c r="C125" i="62"/>
  <c r="C124" i="62"/>
  <c r="N123" i="62"/>
  <c r="M123" i="62"/>
  <c r="I123" i="62"/>
  <c r="G123" i="62"/>
  <c r="C123" i="62"/>
  <c r="G122" i="62"/>
  <c r="F122" i="62"/>
  <c r="D122" i="62"/>
  <c r="C122" i="62"/>
  <c r="N121" i="62"/>
  <c r="M121" i="62"/>
  <c r="I121" i="62"/>
  <c r="G121" i="62"/>
  <c r="D121" i="62"/>
  <c r="C121" i="62"/>
  <c r="C90" i="62"/>
  <c r="C89" i="62"/>
  <c r="N88" i="62"/>
  <c r="M88" i="62"/>
  <c r="I88" i="62"/>
  <c r="G88" i="62"/>
  <c r="F88" i="62"/>
  <c r="C88" i="62"/>
  <c r="G87" i="62"/>
  <c r="F87" i="62"/>
  <c r="D87" i="62"/>
  <c r="C87" i="62"/>
  <c r="O86" i="62"/>
  <c r="N86" i="62"/>
  <c r="M86" i="62"/>
  <c r="I86" i="62"/>
  <c r="G86" i="62"/>
  <c r="F86" i="62"/>
  <c r="D86" i="62"/>
  <c r="C86" i="62"/>
  <c r="C50" i="62"/>
  <c r="C49" i="62"/>
  <c r="M48" i="62"/>
  <c r="I48" i="62"/>
  <c r="C48" i="62"/>
  <c r="F47" i="62"/>
  <c r="D47" i="62"/>
  <c r="C47" i="62"/>
  <c r="M46" i="62"/>
  <c r="I46" i="62"/>
  <c r="D46" i="62"/>
  <c r="C46" i="62"/>
  <c r="C55" i="62"/>
  <c r="C54" i="62"/>
  <c r="M53" i="62"/>
  <c r="I53" i="62"/>
  <c r="C53" i="62"/>
  <c r="D52" i="62"/>
  <c r="C52" i="62"/>
  <c r="M51" i="62"/>
  <c r="I51" i="62"/>
  <c r="D51" i="62"/>
  <c r="C51" i="62"/>
  <c r="C115" i="62"/>
  <c r="C114" i="62"/>
  <c r="M113" i="62"/>
  <c r="I113" i="62"/>
  <c r="C113" i="62"/>
  <c r="F112" i="62"/>
  <c r="D112" i="62"/>
  <c r="C112" i="62"/>
  <c r="O111" i="62"/>
  <c r="M111" i="62"/>
  <c r="I111" i="62"/>
  <c r="D111" i="62"/>
  <c r="C111" i="62"/>
  <c r="C35" i="62"/>
  <c r="C34" i="62"/>
  <c r="M33" i="62"/>
  <c r="I33" i="62"/>
  <c r="G33" i="62"/>
  <c r="C33" i="62"/>
  <c r="G32" i="62"/>
  <c r="D32" i="62"/>
  <c r="C32" i="62"/>
  <c r="M31" i="62"/>
  <c r="I31" i="62"/>
  <c r="G31" i="62"/>
  <c r="D31" i="62"/>
  <c r="C31" i="62"/>
  <c r="C45" i="62"/>
  <c r="C44" i="62"/>
  <c r="M43" i="62"/>
  <c r="I43" i="62"/>
  <c r="C43" i="62"/>
  <c r="F42" i="62"/>
  <c r="D42" i="62"/>
  <c r="C42" i="62"/>
  <c r="M41" i="62"/>
  <c r="I41" i="62"/>
  <c r="C41" i="62"/>
  <c r="C65" i="62"/>
  <c r="C64" i="62"/>
  <c r="N63" i="62"/>
  <c r="M63" i="62"/>
  <c r="L63" i="62"/>
  <c r="K63" i="62"/>
  <c r="I63" i="62"/>
  <c r="C63" i="62"/>
  <c r="K62" i="62"/>
  <c r="F62" i="62"/>
  <c r="D62" i="62"/>
  <c r="C62" i="62"/>
  <c r="O61" i="62"/>
  <c r="N61" i="62"/>
  <c r="M61" i="62"/>
  <c r="L61" i="62"/>
  <c r="K61" i="62"/>
  <c r="I61" i="62"/>
  <c r="D61" i="62"/>
  <c r="C61" i="62"/>
  <c r="C85" i="62"/>
  <c r="C84" i="62"/>
  <c r="M83" i="62"/>
  <c r="I83" i="62"/>
  <c r="C83" i="62"/>
  <c r="F82" i="62"/>
  <c r="D82" i="62"/>
  <c r="C82" i="62"/>
  <c r="O81" i="62"/>
  <c r="M81" i="62"/>
  <c r="I81" i="62"/>
  <c r="C81" i="62"/>
  <c r="C99" i="62"/>
  <c r="M98" i="62"/>
  <c r="I98" i="62"/>
  <c r="G98" i="62"/>
  <c r="F98" i="62"/>
  <c r="C98" i="62"/>
  <c r="G97" i="62"/>
  <c r="F97" i="62"/>
  <c r="D97" i="62"/>
  <c r="C97" i="62"/>
  <c r="O96" i="62"/>
  <c r="M96" i="62"/>
  <c r="I96" i="62"/>
  <c r="G96" i="62"/>
  <c r="F96" i="62"/>
  <c r="D96" i="62"/>
  <c r="C96" i="62"/>
  <c r="C110" i="62"/>
  <c r="C109" i="62"/>
  <c r="M108" i="62"/>
  <c r="I108" i="62"/>
  <c r="C108" i="62"/>
  <c r="D107" i="62"/>
  <c r="C107" i="62"/>
  <c r="M106" i="62"/>
  <c r="I106" i="62"/>
  <c r="D106" i="62"/>
  <c r="C106" i="62"/>
  <c r="C40" i="62"/>
  <c r="C39" i="62"/>
  <c r="M38" i="62"/>
  <c r="I38" i="62"/>
  <c r="G38" i="62"/>
  <c r="F38" i="62"/>
  <c r="C38" i="62"/>
  <c r="G37" i="62"/>
  <c r="F37" i="62"/>
  <c r="D37" i="62"/>
  <c r="C37" i="62"/>
  <c r="M36" i="62"/>
  <c r="I36" i="62"/>
  <c r="G36" i="62"/>
  <c r="F36" i="62"/>
  <c r="D36" i="62"/>
  <c r="C36" i="62"/>
  <c r="C60" i="62"/>
  <c r="C59" i="62"/>
  <c r="M58" i="62"/>
  <c r="I58" i="62"/>
  <c r="C58" i="62"/>
  <c r="F57" i="62"/>
  <c r="D57" i="62"/>
  <c r="C57" i="62"/>
  <c r="O56" i="62"/>
  <c r="M56" i="62"/>
  <c r="I56" i="62"/>
  <c r="D56" i="62"/>
  <c r="C56" i="62"/>
  <c r="C120" i="62"/>
  <c r="C119" i="62"/>
  <c r="M118" i="62"/>
  <c r="I118" i="62"/>
  <c r="G118" i="62"/>
  <c r="C118" i="62"/>
  <c r="G117" i="62"/>
  <c r="F117" i="62"/>
  <c r="D117" i="62"/>
  <c r="C117" i="62"/>
  <c r="M116" i="62"/>
  <c r="I116" i="62"/>
  <c r="G116" i="62"/>
  <c r="D116" i="62"/>
  <c r="C116" i="62"/>
  <c r="C25" i="62"/>
  <c r="C24" i="62"/>
  <c r="M23" i="62"/>
  <c r="I23" i="62"/>
  <c r="G23" i="62"/>
  <c r="F23" i="62"/>
  <c r="C23" i="62"/>
  <c r="F22" i="62"/>
  <c r="D22" i="62"/>
  <c r="C22" i="62"/>
  <c r="M21" i="62"/>
  <c r="I21" i="62"/>
  <c r="G21" i="62"/>
  <c r="F21" i="62"/>
  <c r="D21" i="62"/>
  <c r="C21" i="62"/>
  <c r="C75" i="62"/>
  <c r="C74" i="62"/>
  <c r="M73" i="62"/>
  <c r="I73" i="62"/>
  <c r="C73" i="62"/>
  <c r="D72" i="62"/>
  <c r="C72" i="62"/>
  <c r="M71" i="62"/>
  <c r="I71" i="62"/>
  <c r="D71" i="62"/>
  <c r="C71" i="62"/>
  <c r="C70" i="62"/>
  <c r="C69" i="62"/>
  <c r="M68" i="62"/>
  <c r="I68" i="62"/>
  <c r="C68" i="62"/>
  <c r="F67" i="62"/>
  <c r="D67" i="62"/>
  <c r="C67" i="62"/>
  <c r="O66" i="62"/>
  <c r="M66" i="62"/>
  <c r="I66" i="62"/>
  <c r="D66" i="62"/>
  <c r="C66" i="62"/>
  <c r="C20" i="62"/>
  <c r="C19" i="62"/>
  <c r="M18" i="62"/>
  <c r="I18" i="62"/>
  <c r="G18" i="62"/>
  <c r="F18" i="62"/>
  <c r="C18" i="62"/>
  <c r="G17" i="62"/>
  <c r="F17" i="62"/>
  <c r="D17" i="62"/>
  <c r="C17" i="62"/>
  <c r="M16" i="62"/>
  <c r="I16" i="62"/>
  <c r="G16" i="62"/>
  <c r="D16" i="62"/>
  <c r="C16" i="62"/>
  <c r="C95" i="62"/>
  <c r="C94" i="62"/>
  <c r="M93" i="62"/>
  <c r="I93" i="62"/>
  <c r="C93" i="62"/>
  <c r="D92" i="62"/>
  <c r="C92" i="62"/>
  <c r="M91" i="62"/>
  <c r="I91" i="62"/>
  <c r="F91" i="62"/>
  <c r="D91" i="62"/>
  <c r="C91" i="62"/>
  <c r="C30" i="62"/>
  <c r="C29" i="62"/>
  <c r="M28" i="62"/>
  <c r="I28" i="62"/>
  <c r="G28" i="62"/>
  <c r="F28" i="62"/>
  <c r="C28" i="62"/>
  <c r="G27" i="62"/>
  <c r="F27" i="62"/>
  <c r="D27" i="62"/>
  <c r="C27" i="62"/>
  <c r="M26" i="62"/>
  <c r="I26" i="62"/>
  <c r="G26" i="62"/>
  <c r="F26" i="62"/>
  <c r="D26" i="62"/>
  <c r="C26" i="62"/>
  <c r="C80" i="62"/>
  <c r="C79" i="62"/>
  <c r="M78" i="62"/>
  <c r="K78" i="62"/>
  <c r="I78" i="62"/>
  <c r="C78" i="62"/>
  <c r="K77" i="62"/>
  <c r="F77" i="62"/>
  <c r="D77" i="62"/>
  <c r="C77" i="62"/>
  <c r="O76" i="62"/>
  <c r="M76" i="62"/>
  <c r="K76" i="62"/>
  <c r="I76" i="62"/>
  <c r="D76" i="62"/>
  <c r="C76" i="62"/>
  <c r="C105" i="62"/>
  <c r="C104" i="62"/>
  <c r="N103" i="62"/>
  <c r="M103" i="62"/>
  <c r="L103" i="62"/>
  <c r="K103" i="62"/>
  <c r="I103" i="62"/>
  <c r="G103" i="62"/>
  <c r="F103" i="62"/>
  <c r="C103" i="62"/>
  <c r="K102" i="62"/>
  <c r="G102" i="62"/>
  <c r="F102" i="62"/>
  <c r="D102" i="62"/>
  <c r="C102" i="62"/>
  <c r="O101" i="62"/>
  <c r="N101" i="62"/>
  <c r="M101" i="62"/>
  <c r="L101" i="62"/>
  <c r="K101" i="62"/>
  <c r="I101" i="62"/>
  <c r="G101" i="62"/>
  <c r="F101" i="62"/>
  <c r="D101" i="62"/>
  <c r="C101" i="62"/>
  <c r="L11" i="62"/>
  <c r="K11" i="62"/>
  <c r="G11" i="62"/>
  <c r="F11" i="62"/>
  <c r="L10" i="62"/>
  <c r="K10" i="62"/>
  <c r="G10" i="62"/>
  <c r="F10" i="62"/>
  <c r="O9" i="62"/>
  <c r="N9" i="62"/>
  <c r="L9" i="62"/>
  <c r="K9" i="62"/>
  <c r="G9" i="62"/>
  <c r="F9" i="62"/>
  <c r="O8" i="62"/>
  <c r="N8" i="62"/>
  <c r="L8" i="62"/>
  <c r="K8" i="62"/>
  <c r="G8" i="62"/>
  <c r="F8" i="62"/>
  <c r="C8" i="62"/>
  <c r="O7" i="62"/>
  <c r="N7" i="62"/>
  <c r="L7" i="62"/>
  <c r="K7" i="62"/>
  <c r="G7" i="62"/>
  <c r="F7" i="62"/>
  <c r="O6" i="62"/>
  <c r="K6" i="62"/>
  <c r="F6" i="62"/>
  <c r="A6" i="62"/>
  <c r="A5" i="62"/>
  <c r="A3" i="62"/>
  <c r="A2" i="62"/>
  <c r="A1" i="62"/>
  <c r="A26" i="56" l="1"/>
  <c r="A43" i="56"/>
  <c r="A49" i="56"/>
  <c r="A24" i="56"/>
  <c r="A25" i="56"/>
  <c r="G51" i="50"/>
  <c r="H51" i="50"/>
  <c r="I51" i="50"/>
  <c r="P51" i="50"/>
  <c r="K51" i="50" s="1"/>
  <c r="G52" i="50"/>
  <c r="H52" i="50"/>
  <c r="I52" i="50"/>
  <c r="P52" i="50"/>
  <c r="J52" i="50" s="1"/>
  <c r="AE43" i="56"/>
  <c r="AF43" i="56"/>
  <c r="AE49" i="56"/>
  <c r="AF49" i="56"/>
  <c r="AE24" i="56"/>
  <c r="AF24" i="56"/>
  <c r="AE25" i="56"/>
  <c r="AF25" i="56"/>
  <c r="AE26" i="56"/>
  <c r="M16" i="112" s="1"/>
  <c r="AF26" i="56"/>
  <c r="M18" i="112" s="1"/>
  <c r="H146" i="62"/>
  <c r="H148" i="62"/>
  <c r="H21" i="62"/>
  <c r="H23" i="62"/>
  <c r="M108" i="112" l="1"/>
  <c r="M71" i="113"/>
  <c r="M108" i="114"/>
  <c r="N138" i="82"/>
  <c r="N78" i="106"/>
  <c r="M143" i="82"/>
  <c r="M141" i="82"/>
  <c r="N21" i="63"/>
  <c r="N21" i="62"/>
  <c r="K52" i="50"/>
  <c r="N33" i="63"/>
  <c r="N33" i="62"/>
  <c r="L23" i="63"/>
  <c r="L23" i="62"/>
  <c r="L21" i="63"/>
  <c r="L21" i="62"/>
  <c r="L153" i="63"/>
  <c r="L148" i="62"/>
  <c r="L151" i="63"/>
  <c r="L146" i="62"/>
  <c r="L43" i="63"/>
  <c r="L43" i="62"/>
  <c r="L41" i="63"/>
  <c r="L41" i="62"/>
  <c r="L33" i="63"/>
  <c r="L33" i="62"/>
  <c r="L31" i="63"/>
  <c r="L31" i="62"/>
  <c r="O113" i="62"/>
  <c r="F89" i="62"/>
  <c r="J51" i="50"/>
  <c r="H17" i="46"/>
  <c r="J78" i="106" l="1"/>
  <c r="J138" i="82"/>
  <c r="N136" i="82"/>
  <c r="N76" i="106"/>
  <c r="J153" i="63"/>
  <c r="J148" i="62"/>
  <c r="N23" i="63"/>
  <c r="N23" i="62"/>
  <c r="N31" i="63"/>
  <c r="N31" i="62"/>
  <c r="G22" i="63"/>
  <c r="G22" i="62"/>
  <c r="N154" i="63"/>
  <c r="AC154" i="63" s="1"/>
  <c r="P151" i="63"/>
  <c r="Q151" i="63" s="1"/>
  <c r="O154" i="63"/>
  <c r="AD154" i="63" s="1"/>
  <c r="L154" i="63"/>
  <c r="U89" i="62"/>
  <c r="G89" i="62"/>
  <c r="V89" i="62" s="1"/>
  <c r="A15" i="50"/>
  <c r="A39" i="50"/>
  <c r="A40" i="50"/>
  <c r="A27" i="50"/>
  <c r="A45" i="50"/>
  <c r="A16" i="50"/>
  <c r="A26" i="50"/>
  <c r="A48" i="50"/>
  <c r="A19" i="50"/>
  <c r="A17" i="50"/>
  <c r="A46" i="50"/>
  <c r="A49" i="50"/>
  <c r="A20" i="50"/>
  <c r="A44" i="50"/>
  <c r="A18" i="50"/>
  <c r="A41" i="50"/>
  <c r="A25" i="50"/>
  <c r="A23" i="50"/>
  <c r="A47" i="50"/>
  <c r="A42" i="50"/>
  <c r="A24" i="50"/>
  <c r="A21" i="50"/>
  <c r="A43" i="50"/>
  <c r="A22" i="50"/>
  <c r="A45" i="56"/>
  <c r="A16" i="56"/>
  <c r="A48" i="55"/>
  <c r="A49" i="55"/>
  <c r="M154" i="63" l="1"/>
  <c r="AB154" i="63" s="1"/>
  <c r="AA154" i="63"/>
  <c r="G44" i="50"/>
  <c r="H44" i="50"/>
  <c r="I44" i="50"/>
  <c r="P44" i="50"/>
  <c r="K44" i="50" s="1"/>
  <c r="G18" i="50"/>
  <c r="H18" i="50"/>
  <c r="I18" i="50"/>
  <c r="P18" i="50"/>
  <c r="J18" i="50" s="1"/>
  <c r="N46" i="114" s="1"/>
  <c r="AE45" i="56"/>
  <c r="AF45" i="56"/>
  <c r="AE16" i="56"/>
  <c r="AF16" i="56"/>
  <c r="G48" i="55"/>
  <c r="H48" i="55"/>
  <c r="I48" i="55"/>
  <c r="J48" i="55"/>
  <c r="P48" i="55"/>
  <c r="K48" i="55" s="1"/>
  <c r="P43" i="50"/>
  <c r="K43" i="50" s="1"/>
  <c r="I43" i="50"/>
  <c r="H43" i="50"/>
  <c r="G43" i="50"/>
  <c r="P21" i="50"/>
  <c r="K21" i="50" s="1"/>
  <c r="N18" i="112" s="1"/>
  <c r="I21" i="50"/>
  <c r="H21" i="50"/>
  <c r="G21" i="50"/>
  <c r="P24" i="50"/>
  <c r="K24" i="50" s="1"/>
  <c r="I24" i="50"/>
  <c r="H24" i="50"/>
  <c r="G24" i="50"/>
  <c r="P42" i="50"/>
  <c r="P47" i="50"/>
  <c r="K47" i="50" s="1"/>
  <c r="I47" i="50"/>
  <c r="H47" i="50"/>
  <c r="G47" i="50"/>
  <c r="P23" i="50"/>
  <c r="K23" i="50" s="1"/>
  <c r="I23" i="50"/>
  <c r="H23" i="50"/>
  <c r="G23" i="50"/>
  <c r="P25" i="50"/>
  <c r="K25" i="50" s="1"/>
  <c r="I25" i="50"/>
  <c r="H25" i="50"/>
  <c r="G25" i="50"/>
  <c r="AF50" i="56"/>
  <c r="AE50" i="56"/>
  <c r="A50" i="56"/>
  <c r="AF46" i="56"/>
  <c r="AE46" i="56"/>
  <c r="A46" i="56"/>
  <c r="AF15" i="56"/>
  <c r="AE15" i="56"/>
  <c r="A15" i="56"/>
  <c r="AF40" i="56"/>
  <c r="A40" i="56"/>
  <c r="AF19" i="56"/>
  <c r="AE19" i="56"/>
  <c r="A19" i="56"/>
  <c r="AF39" i="56"/>
  <c r="A39" i="56"/>
  <c r="AF17" i="56"/>
  <c r="AE17" i="56"/>
  <c r="A17" i="56"/>
  <c r="P44" i="55"/>
  <c r="K44" i="55" s="1"/>
  <c r="J44" i="55"/>
  <c r="I44" i="55"/>
  <c r="H44" i="55"/>
  <c r="G44" i="55"/>
  <c r="A44" i="55"/>
  <c r="P25" i="55"/>
  <c r="K25" i="55" s="1"/>
  <c r="L48" i="114" s="1"/>
  <c r="L49" i="114" s="1"/>
  <c r="J25" i="55"/>
  <c r="L46" i="114" s="1"/>
  <c r="I25" i="55"/>
  <c r="H25" i="55"/>
  <c r="G25" i="55"/>
  <c r="A25" i="55"/>
  <c r="P50" i="55"/>
  <c r="K50" i="55" s="1"/>
  <c r="J50" i="55"/>
  <c r="I50" i="55"/>
  <c r="H50" i="55"/>
  <c r="G50" i="55"/>
  <c r="A50" i="55"/>
  <c r="P42" i="55"/>
  <c r="A42" i="55"/>
  <c r="P24" i="55"/>
  <c r="K24" i="55" s="1"/>
  <c r="J24" i="55"/>
  <c r="I24" i="55"/>
  <c r="H24" i="55"/>
  <c r="G24" i="55"/>
  <c r="A24" i="55"/>
  <c r="P41" i="55"/>
  <c r="A41" i="55"/>
  <c r="P49" i="55"/>
  <c r="K49" i="55" s="1"/>
  <c r="J49" i="55"/>
  <c r="I49" i="55"/>
  <c r="H49" i="55"/>
  <c r="G49" i="55"/>
  <c r="I54" i="53"/>
  <c r="H54" i="53"/>
  <c r="G54" i="53"/>
  <c r="A54" i="53"/>
  <c r="I53" i="53"/>
  <c r="H53" i="53"/>
  <c r="G53" i="53"/>
  <c r="A53" i="53"/>
  <c r="I52" i="53"/>
  <c r="K23" i="114" s="1"/>
  <c r="H52" i="53"/>
  <c r="K22" i="114" s="1"/>
  <c r="G52" i="53"/>
  <c r="K21" i="114" s="1"/>
  <c r="A52" i="53"/>
  <c r="I51" i="53"/>
  <c r="K18" i="112" s="1"/>
  <c r="H51" i="53"/>
  <c r="K17" i="112" s="1"/>
  <c r="G51" i="53"/>
  <c r="K16" i="112" s="1"/>
  <c r="A51" i="53"/>
  <c r="I50" i="53"/>
  <c r="H50" i="53"/>
  <c r="G50" i="53"/>
  <c r="A50" i="53"/>
  <c r="I49" i="53"/>
  <c r="G49" i="53"/>
  <c r="A49" i="53"/>
  <c r="I48" i="53"/>
  <c r="H48" i="53"/>
  <c r="G48" i="53"/>
  <c r="A48" i="53"/>
  <c r="I47" i="53"/>
  <c r="H47" i="53"/>
  <c r="G47" i="53"/>
  <c r="A47" i="53"/>
  <c r="I40" i="53"/>
  <c r="H40" i="53"/>
  <c r="G40" i="53"/>
  <c r="A40" i="53"/>
  <c r="I42" i="53"/>
  <c r="H42" i="53"/>
  <c r="G42" i="53"/>
  <c r="A42" i="53"/>
  <c r="I39" i="53"/>
  <c r="H39" i="53"/>
  <c r="G39" i="53"/>
  <c r="A39" i="53"/>
  <c r="I44" i="53"/>
  <c r="H44" i="53"/>
  <c r="G44" i="53"/>
  <c r="A44" i="53"/>
  <c r="I41" i="53"/>
  <c r="K48" i="114" s="1"/>
  <c r="H41" i="53"/>
  <c r="K47" i="114" s="1"/>
  <c r="G41" i="53"/>
  <c r="K46" i="114" s="1"/>
  <c r="A41" i="53"/>
  <c r="I38" i="53"/>
  <c r="H38" i="53"/>
  <c r="G38" i="53"/>
  <c r="A38" i="53"/>
  <c r="I37" i="53"/>
  <c r="H37" i="53"/>
  <c r="G37" i="53"/>
  <c r="A37" i="53"/>
  <c r="I43" i="53"/>
  <c r="H43" i="53"/>
  <c r="G43" i="53"/>
  <c r="A43" i="53"/>
  <c r="H67" i="46"/>
  <c r="G67" i="46"/>
  <c r="A67" i="46"/>
  <c r="H66" i="46"/>
  <c r="G66" i="46"/>
  <c r="A66" i="46"/>
  <c r="H65" i="46"/>
  <c r="G65" i="46"/>
  <c r="A65" i="46"/>
  <c r="H64" i="46"/>
  <c r="G64" i="46"/>
  <c r="A64" i="46"/>
  <c r="H63" i="46"/>
  <c r="G63" i="46"/>
  <c r="A63" i="46"/>
  <c r="H62" i="46"/>
  <c r="G62" i="46"/>
  <c r="A62" i="46"/>
  <c r="H61" i="46"/>
  <c r="G61" i="46"/>
  <c r="A61" i="46"/>
  <c r="H60" i="46"/>
  <c r="G60" i="46"/>
  <c r="A60" i="46"/>
  <c r="A81" i="46"/>
  <c r="A80" i="46"/>
  <c r="A79" i="46"/>
  <c r="A78" i="46"/>
  <c r="A77" i="46"/>
  <c r="A76" i="46"/>
  <c r="A75" i="46"/>
  <c r="H38" i="106"/>
  <c r="H36" i="106"/>
  <c r="H63" i="63"/>
  <c r="H61" i="63"/>
  <c r="H73" i="63"/>
  <c r="H71" i="63"/>
  <c r="G127" i="112"/>
  <c r="G126" i="112"/>
  <c r="A63" i="47"/>
  <c r="I62" i="47"/>
  <c r="G62" i="47"/>
  <c r="A62" i="47"/>
  <c r="I61" i="47"/>
  <c r="G61" i="47"/>
  <c r="A61" i="47"/>
  <c r="I60" i="47"/>
  <c r="G60" i="47"/>
  <c r="A60" i="47"/>
  <c r="I59" i="47"/>
  <c r="G59" i="47"/>
  <c r="A59" i="47"/>
  <c r="I58" i="47"/>
  <c r="F63" i="112" s="1"/>
  <c r="G58" i="47"/>
  <c r="F61" i="112" s="1"/>
  <c r="A58" i="47"/>
  <c r="I57" i="47"/>
  <c r="F123" i="112" s="1"/>
  <c r="H57" i="47"/>
  <c r="F122" i="112" s="1"/>
  <c r="G57" i="47"/>
  <c r="F121" i="112" s="1"/>
  <c r="A57" i="47"/>
  <c r="A56" i="47"/>
  <c r="A82" i="46"/>
  <c r="G17" i="114"/>
  <c r="A89" i="46"/>
  <c r="A84" i="46"/>
  <c r="A85" i="46"/>
  <c r="A87" i="46"/>
  <c r="A86" i="46"/>
  <c r="A88" i="46"/>
  <c r="A83" i="46"/>
  <c r="A44" i="46"/>
  <c r="A38" i="46"/>
  <c r="A40" i="46"/>
  <c r="A37" i="46"/>
  <c r="A41" i="46"/>
  <c r="A39" i="46"/>
  <c r="A42" i="46"/>
  <c r="A43" i="46"/>
  <c r="G43" i="46"/>
  <c r="H43" i="46"/>
  <c r="G42" i="46"/>
  <c r="H42" i="46"/>
  <c r="G39" i="46"/>
  <c r="H39" i="46"/>
  <c r="G41" i="46"/>
  <c r="H41" i="46"/>
  <c r="G37" i="46"/>
  <c r="H37" i="46"/>
  <c r="G40" i="46"/>
  <c r="H40" i="46"/>
  <c r="G38" i="46"/>
  <c r="H38" i="46"/>
  <c r="G16" i="114"/>
  <c r="D82" i="54"/>
  <c r="D81" i="54"/>
  <c r="D79" i="54"/>
  <c r="D63" i="54"/>
  <c r="D84" i="54"/>
  <c r="D66" i="54"/>
  <c r="D85" i="54"/>
  <c r="D76" i="54"/>
  <c r="D64" i="54"/>
  <c r="D65" i="54"/>
  <c r="D62" i="54"/>
  <c r="D61" i="54"/>
  <c r="D71" i="54"/>
  <c r="D83" i="54"/>
  <c r="D75" i="54"/>
  <c r="D78" i="54"/>
  <c r="D68" i="54"/>
  <c r="D73" i="54"/>
  <c r="D67" i="54"/>
  <c r="D60" i="54"/>
  <c r="D70" i="54"/>
  <c r="D77" i="54"/>
  <c r="D69" i="54"/>
  <c r="D80" i="54"/>
  <c r="D72" i="54"/>
  <c r="D74" i="54"/>
  <c r="D59" i="54"/>
  <c r="A53" i="47"/>
  <c r="I52" i="47"/>
  <c r="F68" i="112" s="1"/>
  <c r="G52" i="47"/>
  <c r="F66" i="112" s="1"/>
  <c r="A52" i="47"/>
  <c r="F58" i="112"/>
  <c r="F57" i="112"/>
  <c r="F56" i="112"/>
  <c r="A51" i="47"/>
  <c r="I50" i="47"/>
  <c r="H50" i="47"/>
  <c r="G50" i="47"/>
  <c r="A50" i="47"/>
  <c r="I49" i="47"/>
  <c r="F118" i="112" s="1"/>
  <c r="H49" i="47"/>
  <c r="F117" i="112" s="1"/>
  <c r="G49" i="47"/>
  <c r="F116" i="112" s="1"/>
  <c r="A49" i="47"/>
  <c r="I48" i="47"/>
  <c r="F78" i="112" s="1"/>
  <c r="H48" i="47"/>
  <c r="F77" i="112" s="1"/>
  <c r="G48" i="47"/>
  <c r="F76" i="112" s="1"/>
  <c r="A48" i="47"/>
  <c r="I47" i="47"/>
  <c r="F103" i="112" s="1"/>
  <c r="H47" i="47"/>
  <c r="F102" i="112" s="1"/>
  <c r="A47" i="47"/>
  <c r="A46" i="47"/>
  <c r="B1" i="51"/>
  <c r="B2" i="51"/>
  <c r="G12" i="51"/>
  <c r="G27" i="51"/>
  <c r="O46" i="114" s="1"/>
  <c r="H27" i="51"/>
  <c r="O48" i="114" s="1"/>
  <c r="G21" i="51"/>
  <c r="H21" i="51"/>
  <c r="G25" i="51"/>
  <c r="O16" i="112" s="1"/>
  <c r="H25" i="51"/>
  <c r="O18" i="112" s="1"/>
  <c r="G22" i="51"/>
  <c r="H22" i="51"/>
  <c r="G30" i="51"/>
  <c r="O26" i="114" s="1"/>
  <c r="H30" i="51"/>
  <c r="O28" i="114" s="1"/>
  <c r="G20" i="51"/>
  <c r="H20" i="51"/>
  <c r="G38" i="51"/>
  <c r="H38" i="51"/>
  <c r="G18" i="51"/>
  <c r="H18" i="51"/>
  <c r="G19" i="51"/>
  <c r="H19" i="51"/>
  <c r="G23" i="51"/>
  <c r="H23" i="51"/>
  <c r="G29" i="51"/>
  <c r="H29" i="51"/>
  <c r="B1" i="50"/>
  <c r="B2" i="50"/>
  <c r="G22" i="50"/>
  <c r="H22" i="50"/>
  <c r="I22" i="50"/>
  <c r="P22" i="50"/>
  <c r="J22" i="50" s="1"/>
  <c r="G15" i="50"/>
  <c r="H15" i="50"/>
  <c r="I15" i="50"/>
  <c r="P15" i="50"/>
  <c r="J15" i="50" s="1"/>
  <c r="N31" i="114" s="1"/>
  <c r="P39" i="50"/>
  <c r="P40" i="50"/>
  <c r="G27" i="50"/>
  <c r="H27" i="50"/>
  <c r="I27" i="50"/>
  <c r="P27" i="50"/>
  <c r="K27" i="50" s="1"/>
  <c r="G45" i="50"/>
  <c r="H45" i="50"/>
  <c r="I45" i="50"/>
  <c r="P45" i="50"/>
  <c r="J45" i="50" s="1"/>
  <c r="G16" i="50"/>
  <c r="H16" i="50"/>
  <c r="I16" i="50"/>
  <c r="P16" i="50"/>
  <c r="K16" i="50" s="1"/>
  <c r="G26" i="50"/>
  <c r="H26" i="50"/>
  <c r="I26" i="50"/>
  <c r="P26" i="50"/>
  <c r="K26" i="50" s="1"/>
  <c r="G48" i="50"/>
  <c r="H48" i="50"/>
  <c r="I48" i="50"/>
  <c r="P48" i="50"/>
  <c r="K48" i="50" s="1"/>
  <c r="G19" i="50"/>
  <c r="H19" i="50"/>
  <c r="I19" i="50"/>
  <c r="P19" i="50"/>
  <c r="K19" i="50" s="1"/>
  <c r="G17" i="50"/>
  <c r="H17" i="50"/>
  <c r="I17" i="50"/>
  <c r="P17" i="50"/>
  <c r="K17" i="50" s="1"/>
  <c r="G46" i="50"/>
  <c r="H46" i="50"/>
  <c r="I46" i="50"/>
  <c r="P46" i="50"/>
  <c r="J46" i="50" s="1"/>
  <c r="G49" i="50"/>
  <c r="H49" i="50"/>
  <c r="I49" i="50"/>
  <c r="P49" i="50"/>
  <c r="K49" i="50" s="1"/>
  <c r="G20" i="50"/>
  <c r="H20" i="50"/>
  <c r="I20" i="50"/>
  <c r="P20" i="50"/>
  <c r="J20" i="50" s="1"/>
  <c r="B1" i="56"/>
  <c r="B2" i="56"/>
  <c r="A42" i="56"/>
  <c r="AF42" i="56"/>
  <c r="A44" i="56"/>
  <c r="AE44" i="56"/>
  <c r="AF44" i="56"/>
  <c r="A23" i="56"/>
  <c r="AE23" i="56"/>
  <c r="AF23" i="56"/>
  <c r="A18" i="56"/>
  <c r="AE18" i="56"/>
  <c r="AF18" i="56"/>
  <c r="A22" i="56"/>
  <c r="AE22" i="56"/>
  <c r="AF22" i="56"/>
  <c r="A47" i="56"/>
  <c r="AE47" i="56"/>
  <c r="M41" i="82" s="1"/>
  <c r="AF47" i="56"/>
  <c r="A21" i="56"/>
  <c r="AE21" i="56"/>
  <c r="AF21" i="56"/>
  <c r="A53" i="56"/>
  <c r="A48" i="56"/>
  <c r="AE48" i="56"/>
  <c r="AF48" i="56"/>
  <c r="A41" i="56"/>
  <c r="AF41" i="56"/>
  <c r="A20" i="56"/>
  <c r="AE20" i="56"/>
  <c r="AF20" i="56"/>
  <c r="A52" i="56"/>
  <c r="B1" i="55"/>
  <c r="B2" i="55"/>
  <c r="A40" i="55"/>
  <c r="P40" i="55"/>
  <c r="A27" i="55"/>
  <c r="G27" i="55"/>
  <c r="H27" i="55"/>
  <c r="I27" i="55"/>
  <c r="J27" i="55"/>
  <c r="P27" i="55"/>
  <c r="K27" i="55" s="1"/>
  <c r="A19" i="55"/>
  <c r="G19" i="55"/>
  <c r="H19" i="55"/>
  <c r="I19" i="55"/>
  <c r="J19" i="55"/>
  <c r="P19" i="55"/>
  <c r="K19" i="55" s="1"/>
  <c r="A16" i="55"/>
  <c r="G16" i="55"/>
  <c r="H16" i="55"/>
  <c r="I16" i="55"/>
  <c r="J16" i="55"/>
  <c r="P16" i="55"/>
  <c r="K16" i="55" s="1"/>
  <c r="A23" i="55"/>
  <c r="G23" i="55"/>
  <c r="H23" i="55"/>
  <c r="I23" i="55"/>
  <c r="J23" i="55"/>
  <c r="P23" i="55"/>
  <c r="K23" i="55" s="1"/>
  <c r="A22" i="55"/>
  <c r="G22" i="55"/>
  <c r="H22" i="55"/>
  <c r="I22" i="55"/>
  <c r="J22" i="55"/>
  <c r="P22" i="55"/>
  <c r="K22" i="55" s="1"/>
  <c r="A20" i="55"/>
  <c r="G20" i="55"/>
  <c r="H20" i="55"/>
  <c r="I20" i="55"/>
  <c r="J20" i="55"/>
  <c r="L16" i="112" s="1"/>
  <c r="P20" i="55"/>
  <c r="K20" i="55" s="1"/>
  <c r="L18" i="112" s="1"/>
  <c r="A53" i="55"/>
  <c r="G53" i="55"/>
  <c r="H53" i="55"/>
  <c r="I53" i="55"/>
  <c r="J53" i="55"/>
  <c r="P53" i="55"/>
  <c r="K53" i="55" s="1"/>
  <c r="A17" i="55"/>
  <c r="G17" i="55"/>
  <c r="H17" i="55"/>
  <c r="I17" i="55"/>
  <c r="J17" i="55"/>
  <c r="P17" i="55"/>
  <c r="K17" i="55" s="1"/>
  <c r="A43" i="55"/>
  <c r="G43" i="55"/>
  <c r="H43" i="55"/>
  <c r="I43" i="55"/>
  <c r="J43" i="55"/>
  <c r="P43" i="55"/>
  <c r="K43" i="55" s="1"/>
  <c r="A26" i="55"/>
  <c r="G26" i="55"/>
  <c r="H26" i="55"/>
  <c r="I26" i="55"/>
  <c r="J26" i="55"/>
  <c r="P26" i="55"/>
  <c r="K26" i="55" s="1"/>
  <c r="A18" i="55"/>
  <c r="G18" i="55"/>
  <c r="H18" i="55"/>
  <c r="I18" i="55"/>
  <c r="J18" i="55"/>
  <c r="P18" i="55"/>
  <c r="K18" i="55" s="1"/>
  <c r="A47" i="55"/>
  <c r="G47" i="55"/>
  <c r="H47" i="55"/>
  <c r="I47" i="55"/>
  <c r="J47" i="55"/>
  <c r="P47" i="55"/>
  <c r="K47" i="55" s="1"/>
  <c r="A51" i="55"/>
  <c r="G51" i="55"/>
  <c r="H51" i="55"/>
  <c r="I51" i="55"/>
  <c r="J51" i="55"/>
  <c r="P51" i="55"/>
  <c r="K51" i="55" s="1"/>
  <c r="B1" i="53"/>
  <c r="B2" i="53"/>
  <c r="H10" i="53"/>
  <c r="A20" i="53"/>
  <c r="A22" i="53"/>
  <c r="G22" i="53"/>
  <c r="H22" i="53"/>
  <c r="I22" i="53"/>
  <c r="A23" i="53"/>
  <c r="A21" i="53"/>
  <c r="A17" i="53"/>
  <c r="G17" i="53"/>
  <c r="H17" i="53"/>
  <c r="I17" i="53"/>
  <c r="A19" i="53"/>
  <c r="A24" i="53"/>
  <c r="G24" i="53"/>
  <c r="H24" i="53"/>
  <c r="I24" i="53"/>
  <c r="A18" i="53"/>
  <c r="A34" i="53"/>
  <c r="G34" i="53"/>
  <c r="H34" i="53"/>
  <c r="I34" i="53"/>
  <c r="A31" i="53"/>
  <c r="G31" i="53"/>
  <c r="H31" i="53"/>
  <c r="I31" i="53"/>
  <c r="A29" i="53"/>
  <c r="G29" i="53"/>
  <c r="H29" i="53"/>
  <c r="I29" i="53"/>
  <c r="A28" i="53"/>
  <c r="G28" i="53"/>
  <c r="H28" i="53"/>
  <c r="I28" i="53"/>
  <c r="A27" i="53"/>
  <c r="G27" i="53"/>
  <c r="H27" i="53"/>
  <c r="I27" i="53"/>
  <c r="A33" i="53"/>
  <c r="A30" i="53"/>
  <c r="G30" i="53"/>
  <c r="H30" i="53"/>
  <c r="I30" i="53"/>
  <c r="A32" i="53"/>
  <c r="G32" i="53"/>
  <c r="H32" i="53"/>
  <c r="I32" i="53"/>
  <c r="B1" i="46"/>
  <c r="B2" i="46"/>
  <c r="A18" i="46"/>
  <c r="G18" i="46"/>
  <c r="H18" i="46"/>
  <c r="A21" i="46"/>
  <c r="G21" i="46"/>
  <c r="H21" i="46"/>
  <c r="A17" i="46"/>
  <c r="G17" i="46"/>
  <c r="A22" i="46"/>
  <c r="G22" i="46"/>
  <c r="H22" i="46"/>
  <c r="A24" i="46"/>
  <c r="G24" i="46"/>
  <c r="H24" i="46"/>
  <c r="A23" i="46"/>
  <c r="G23" i="46"/>
  <c r="H23" i="46"/>
  <c r="A20" i="46"/>
  <c r="G20" i="46"/>
  <c r="H20" i="46"/>
  <c r="A19" i="46"/>
  <c r="G19" i="46"/>
  <c r="H19" i="46"/>
  <c r="A30" i="46"/>
  <c r="G30" i="46"/>
  <c r="H30" i="46"/>
  <c r="A33" i="46"/>
  <c r="G33" i="46"/>
  <c r="H33" i="46"/>
  <c r="A31" i="46"/>
  <c r="G31" i="46"/>
  <c r="H31" i="46"/>
  <c r="A29" i="46"/>
  <c r="G29" i="46"/>
  <c r="J69" i="113" s="1"/>
  <c r="H29" i="46"/>
  <c r="A27" i="46"/>
  <c r="G27" i="46"/>
  <c r="H27" i="46"/>
  <c r="A32" i="46"/>
  <c r="G32" i="46"/>
  <c r="H32" i="46"/>
  <c r="A34" i="46"/>
  <c r="A28" i="46"/>
  <c r="G28" i="46"/>
  <c r="H28" i="46"/>
  <c r="H126" i="112"/>
  <c r="H128" i="112"/>
  <c r="H131" i="112"/>
  <c r="H133" i="112"/>
  <c r="G71" i="105"/>
  <c r="G26" i="112"/>
  <c r="G27" i="112"/>
  <c r="G111" i="112"/>
  <c r="G113" i="112"/>
  <c r="A18" i="47"/>
  <c r="A20" i="47"/>
  <c r="A21" i="47"/>
  <c r="A22" i="47"/>
  <c r="A23" i="47"/>
  <c r="A24" i="47"/>
  <c r="A25" i="47"/>
  <c r="A26" i="47"/>
  <c r="A29" i="47"/>
  <c r="A30" i="47"/>
  <c r="A31" i="47"/>
  <c r="A32" i="47"/>
  <c r="A33" i="47"/>
  <c r="A34" i="47"/>
  <c r="A35" i="47"/>
  <c r="A36" i="47"/>
  <c r="A88" i="47"/>
  <c r="A89" i="47"/>
  <c r="A90" i="47"/>
  <c r="A91" i="47"/>
  <c r="A92" i="47"/>
  <c r="A93" i="47"/>
  <c r="A94" i="47"/>
  <c r="A95" i="47"/>
  <c r="A96" i="47"/>
  <c r="A97" i="47"/>
  <c r="A98" i="47"/>
  <c r="A99" i="47"/>
  <c r="A100" i="47"/>
  <c r="A101" i="47"/>
  <c r="A102" i="47"/>
  <c r="A103" i="47"/>
  <c r="A104" i="47"/>
  <c r="A105" i="47"/>
  <c r="A106" i="47"/>
  <c r="A107" i="47"/>
  <c r="A108" i="47"/>
  <c r="A109" i="47"/>
  <c r="A110" i="47"/>
  <c r="A111" i="47"/>
  <c r="A112" i="47"/>
  <c r="A113" i="47"/>
  <c r="A114" i="47"/>
  <c r="A115" i="47"/>
  <c r="A116" i="47"/>
  <c r="A117" i="47"/>
  <c r="A118" i="47"/>
  <c r="A119" i="47"/>
  <c r="K46" i="50"/>
  <c r="A38" i="51"/>
  <c r="J91" i="112" l="1"/>
  <c r="J59" i="113"/>
  <c r="J91" i="114"/>
  <c r="J68" i="112"/>
  <c r="J43" i="114"/>
  <c r="J21" i="113"/>
  <c r="J73" i="112"/>
  <c r="J73" i="114"/>
  <c r="J41" i="113"/>
  <c r="K76" i="112"/>
  <c r="K49" i="113"/>
  <c r="K81" i="114"/>
  <c r="K54" i="113"/>
  <c r="K86" i="114"/>
  <c r="K72" i="112"/>
  <c r="K72" i="114"/>
  <c r="K40" i="113"/>
  <c r="K52" i="112"/>
  <c r="K37" i="114"/>
  <c r="K15" i="113"/>
  <c r="K77" i="114"/>
  <c r="K45" i="113"/>
  <c r="L31" i="112"/>
  <c r="L31" i="114"/>
  <c r="L51" i="112"/>
  <c r="L36" i="114"/>
  <c r="L14" i="113"/>
  <c r="L106" i="112"/>
  <c r="L106" i="114"/>
  <c r="L69" i="113"/>
  <c r="L61" i="112"/>
  <c r="L61" i="114"/>
  <c r="L29" i="113"/>
  <c r="M21" i="112"/>
  <c r="M21" i="114"/>
  <c r="M28" i="112"/>
  <c r="M28" i="114"/>
  <c r="M46" i="112"/>
  <c r="M46" i="114"/>
  <c r="O61" i="112"/>
  <c r="O61" i="114"/>
  <c r="O29" i="113"/>
  <c r="O51" i="112"/>
  <c r="O36" i="114"/>
  <c r="O14" i="113"/>
  <c r="O76" i="112"/>
  <c r="O49" i="113"/>
  <c r="O81" i="114"/>
  <c r="O41" i="112"/>
  <c r="O56" i="114"/>
  <c r="O56" i="112"/>
  <c r="O66" i="114"/>
  <c r="O34" i="113"/>
  <c r="J48" i="112"/>
  <c r="J48" i="114"/>
  <c r="J58" i="112"/>
  <c r="J68" i="114"/>
  <c r="J36" i="113"/>
  <c r="J63" i="112"/>
  <c r="J63" i="114"/>
  <c r="J31" i="113"/>
  <c r="K93" i="112"/>
  <c r="K61" i="113"/>
  <c r="K93" i="114"/>
  <c r="K68" i="112"/>
  <c r="K43" i="114"/>
  <c r="K21" i="113"/>
  <c r="K58" i="112"/>
  <c r="K68" i="114"/>
  <c r="K36" i="113"/>
  <c r="K53" i="114"/>
  <c r="K26" i="113"/>
  <c r="K63" i="112"/>
  <c r="K63" i="114"/>
  <c r="K31" i="113"/>
  <c r="L83" i="112"/>
  <c r="L88" i="114"/>
  <c r="L56" i="113"/>
  <c r="N98" i="114"/>
  <c r="N98" i="112"/>
  <c r="J108" i="112"/>
  <c r="J108" i="114"/>
  <c r="J71" i="113"/>
  <c r="J118" i="112"/>
  <c r="J118" i="114"/>
  <c r="J103" i="112"/>
  <c r="J103" i="114"/>
  <c r="J66" i="113"/>
  <c r="K71" i="112"/>
  <c r="K71" i="114"/>
  <c r="K39" i="113"/>
  <c r="K51" i="112"/>
  <c r="K36" i="114"/>
  <c r="K14" i="113"/>
  <c r="K76" i="114"/>
  <c r="K44" i="113"/>
  <c r="L98" i="114"/>
  <c r="L99" i="114" s="1"/>
  <c r="L98" i="112"/>
  <c r="L99" i="112" s="1"/>
  <c r="L28" i="112"/>
  <c r="L28" i="114"/>
  <c r="L29" i="114" s="1"/>
  <c r="L113" i="112"/>
  <c r="L113" i="114"/>
  <c r="L114" i="114" s="1"/>
  <c r="M98" i="114"/>
  <c r="M98" i="112"/>
  <c r="M26" i="112"/>
  <c r="M26" i="114"/>
  <c r="N106" i="112"/>
  <c r="N69" i="113"/>
  <c r="N106" i="114"/>
  <c r="N23" i="112"/>
  <c r="N23" i="114"/>
  <c r="N28" i="112"/>
  <c r="N28" i="114"/>
  <c r="N53" i="112"/>
  <c r="N38" i="114"/>
  <c r="N16" i="113"/>
  <c r="O43" i="114"/>
  <c r="O21" i="113"/>
  <c r="O78" i="114"/>
  <c r="O46" i="113"/>
  <c r="J46" i="112"/>
  <c r="J46" i="114"/>
  <c r="J56" i="112"/>
  <c r="J66" i="114"/>
  <c r="J34" i="113"/>
  <c r="J61" i="112"/>
  <c r="J61" i="114"/>
  <c r="J29" i="113"/>
  <c r="K26" i="112"/>
  <c r="K26" i="114"/>
  <c r="K31" i="112"/>
  <c r="K31" i="114"/>
  <c r="M88" i="114"/>
  <c r="M56" i="113"/>
  <c r="J66" i="112"/>
  <c r="J41" i="114"/>
  <c r="J19" i="113"/>
  <c r="J71" i="112"/>
  <c r="J71" i="114"/>
  <c r="J39" i="113"/>
  <c r="J53" i="112"/>
  <c r="J38" i="114"/>
  <c r="J16" i="113"/>
  <c r="J116" i="112"/>
  <c r="J116" i="114"/>
  <c r="J88" i="112"/>
  <c r="J78" i="114"/>
  <c r="J46" i="113"/>
  <c r="J101" i="112"/>
  <c r="J101" i="114"/>
  <c r="J64" i="113"/>
  <c r="K78" i="112"/>
  <c r="K51" i="113"/>
  <c r="K83" i="114"/>
  <c r="K56" i="113"/>
  <c r="K88" i="114"/>
  <c r="L96" i="114"/>
  <c r="L96" i="112"/>
  <c r="L26" i="112"/>
  <c r="L26" i="114"/>
  <c r="L111" i="112"/>
  <c r="L111" i="114"/>
  <c r="M33" i="112"/>
  <c r="M33" i="114"/>
  <c r="M96" i="114"/>
  <c r="M96" i="112"/>
  <c r="O66" i="112"/>
  <c r="O41" i="114"/>
  <c r="O19" i="113"/>
  <c r="O76" i="114"/>
  <c r="O44" i="113"/>
  <c r="J43" i="112"/>
  <c r="J58" i="114"/>
  <c r="J78" i="112"/>
  <c r="J83" i="114"/>
  <c r="J51" i="113"/>
  <c r="J83" i="112"/>
  <c r="J88" i="114"/>
  <c r="J56" i="113"/>
  <c r="K91" i="112"/>
  <c r="K59" i="113"/>
  <c r="K91" i="114"/>
  <c r="K66" i="112"/>
  <c r="K41" i="114"/>
  <c r="K19" i="113"/>
  <c r="K56" i="112"/>
  <c r="K66" i="114"/>
  <c r="K34" i="113"/>
  <c r="K51" i="114"/>
  <c r="K24" i="113"/>
  <c r="K61" i="112"/>
  <c r="K61" i="114"/>
  <c r="K29" i="113"/>
  <c r="K111" i="112"/>
  <c r="K111" i="114"/>
  <c r="K27" i="112"/>
  <c r="K27" i="114"/>
  <c r="K32" i="112"/>
  <c r="K32" i="114"/>
  <c r="AC49" i="114"/>
  <c r="L50" i="114"/>
  <c r="M53" i="112"/>
  <c r="M38" i="114"/>
  <c r="M16" i="113"/>
  <c r="J93" i="112"/>
  <c r="J61" i="113"/>
  <c r="J93" i="114"/>
  <c r="J51" i="112"/>
  <c r="J36" i="114"/>
  <c r="J14" i="113"/>
  <c r="J86" i="112"/>
  <c r="J76" i="114"/>
  <c r="J44" i="113"/>
  <c r="K77" i="112"/>
  <c r="K82" i="114"/>
  <c r="K50" i="113"/>
  <c r="K55" i="113"/>
  <c r="K87" i="114"/>
  <c r="K73" i="112"/>
  <c r="K73" i="114"/>
  <c r="K41" i="113"/>
  <c r="K53" i="112"/>
  <c r="K38" i="114"/>
  <c r="K16" i="113"/>
  <c r="K78" i="114"/>
  <c r="K46" i="113"/>
  <c r="L33" i="112"/>
  <c r="L33" i="114"/>
  <c r="L53" i="112"/>
  <c r="L38" i="114"/>
  <c r="L16" i="113"/>
  <c r="L108" i="112"/>
  <c r="L71" i="113"/>
  <c r="L72" i="113" s="1"/>
  <c r="L108" i="114"/>
  <c r="L109" i="114" s="1"/>
  <c r="L63" i="112"/>
  <c r="L31" i="113"/>
  <c r="L63" i="114"/>
  <c r="M31" i="112"/>
  <c r="M31" i="114"/>
  <c r="M23" i="112"/>
  <c r="M23" i="114"/>
  <c r="M48" i="112"/>
  <c r="M48" i="114"/>
  <c r="M49" i="114" s="1"/>
  <c r="N81" i="112"/>
  <c r="N54" i="113"/>
  <c r="N86" i="114"/>
  <c r="O63" i="112"/>
  <c r="O63" i="114"/>
  <c r="O31" i="113"/>
  <c r="O53" i="112"/>
  <c r="O38" i="114"/>
  <c r="O16" i="113"/>
  <c r="O78" i="112"/>
  <c r="O51" i="113"/>
  <c r="O83" i="114"/>
  <c r="O43" i="112"/>
  <c r="O58" i="114"/>
  <c r="O58" i="112"/>
  <c r="O68" i="114"/>
  <c r="O36" i="113"/>
  <c r="J41" i="112"/>
  <c r="J56" i="114"/>
  <c r="J76" i="112"/>
  <c r="J49" i="113"/>
  <c r="J81" i="114"/>
  <c r="J81" i="112"/>
  <c r="J86" i="114"/>
  <c r="J54" i="113"/>
  <c r="K92" i="112"/>
  <c r="K92" i="114"/>
  <c r="K60" i="113"/>
  <c r="K67" i="112"/>
  <c r="K42" i="114"/>
  <c r="K20" i="113"/>
  <c r="K57" i="112"/>
  <c r="K67" i="114"/>
  <c r="K35" i="113"/>
  <c r="K52" i="114"/>
  <c r="K25" i="113"/>
  <c r="K62" i="112"/>
  <c r="K62" i="114"/>
  <c r="K30" i="113"/>
  <c r="K113" i="112"/>
  <c r="K113" i="114"/>
  <c r="K28" i="112"/>
  <c r="K28" i="114"/>
  <c r="K33" i="112"/>
  <c r="K33" i="114"/>
  <c r="L81" i="112"/>
  <c r="L54" i="113"/>
  <c r="L86" i="114"/>
  <c r="N103" i="112"/>
  <c r="N103" i="114"/>
  <c r="N66" i="113"/>
  <c r="M51" i="112"/>
  <c r="M36" i="114"/>
  <c r="M14" i="113"/>
  <c r="F32" i="63"/>
  <c r="F32" i="62"/>
  <c r="F91" i="112"/>
  <c r="F61" i="63"/>
  <c r="F61" i="62"/>
  <c r="F38" i="112"/>
  <c r="F39" i="112" s="1"/>
  <c r="F24" i="113"/>
  <c r="F51" i="114"/>
  <c r="F26" i="113"/>
  <c r="F27" i="113" s="1"/>
  <c r="F53" i="114"/>
  <c r="F54" i="114" s="1"/>
  <c r="F31" i="112"/>
  <c r="F21" i="114"/>
  <c r="F21" i="112"/>
  <c r="F73" i="112"/>
  <c r="F16" i="113"/>
  <c r="F17" i="113" s="1"/>
  <c r="F38" i="114"/>
  <c r="F39" i="114" s="1"/>
  <c r="F53" i="112"/>
  <c r="F54" i="112" s="1"/>
  <c r="W54" i="112" s="1"/>
  <c r="F36" i="112"/>
  <c r="F33" i="112"/>
  <c r="F34" i="112" s="1"/>
  <c r="W34" i="112" s="1"/>
  <c r="F23" i="114"/>
  <c r="F24" i="114" s="1"/>
  <c r="F23" i="112"/>
  <c r="F24" i="112" s="1"/>
  <c r="W24" i="112" s="1"/>
  <c r="F88" i="112"/>
  <c r="J89" i="112" s="1"/>
  <c r="F31" i="113"/>
  <c r="F32" i="113" s="1"/>
  <c r="F63" i="114"/>
  <c r="F64" i="114" s="1"/>
  <c r="F71" i="112"/>
  <c r="F14" i="113"/>
  <c r="F36" i="114"/>
  <c r="F51" i="112"/>
  <c r="F31" i="63"/>
  <c r="F31" i="62"/>
  <c r="F86" i="112"/>
  <c r="F29" i="113"/>
  <c r="F61" i="114"/>
  <c r="F93" i="112"/>
  <c r="J94" i="112" s="1"/>
  <c r="F63" i="63"/>
  <c r="F64" i="63" s="1"/>
  <c r="F63" i="62"/>
  <c r="F41" i="112"/>
  <c r="F71" i="63"/>
  <c r="F71" i="62"/>
  <c r="F43" i="112"/>
  <c r="N44" i="112" s="1"/>
  <c r="F73" i="63"/>
  <c r="F74" i="63" s="1"/>
  <c r="F73" i="62"/>
  <c r="F42" i="112"/>
  <c r="F72" i="63"/>
  <c r="F72" i="62"/>
  <c r="I16" i="114"/>
  <c r="I16" i="82"/>
  <c r="I18" i="114"/>
  <c r="I18" i="82"/>
  <c r="G76" i="112"/>
  <c r="G81" i="114"/>
  <c r="G49" i="113"/>
  <c r="G71" i="63"/>
  <c r="G71" i="62"/>
  <c r="G72" i="63"/>
  <c r="G72" i="62"/>
  <c r="G61" i="63"/>
  <c r="G61" i="62"/>
  <c r="G62" i="63"/>
  <c r="G62" i="62"/>
  <c r="G77" i="112"/>
  <c r="G50" i="113"/>
  <c r="G82" i="114"/>
  <c r="H14" i="113"/>
  <c r="H36" i="114"/>
  <c r="H18" i="112"/>
  <c r="H56" i="113"/>
  <c r="H88" i="114"/>
  <c r="H16" i="113"/>
  <c r="H38" i="114"/>
  <c r="H81" i="114"/>
  <c r="H49" i="113"/>
  <c r="H76" i="112"/>
  <c r="H16" i="112"/>
  <c r="H86" i="114"/>
  <c r="H54" i="113"/>
  <c r="H83" i="114"/>
  <c r="H51" i="113"/>
  <c r="H78" i="112"/>
  <c r="G96" i="112"/>
  <c r="G61" i="114"/>
  <c r="G29" i="113"/>
  <c r="G61" i="112"/>
  <c r="G98" i="112"/>
  <c r="G63" i="114"/>
  <c r="G31" i="113"/>
  <c r="G63" i="112"/>
  <c r="P61" i="112" s="1"/>
  <c r="H53" i="114"/>
  <c r="H26" i="113"/>
  <c r="H38" i="112"/>
  <c r="H106" i="112"/>
  <c r="H108" i="114"/>
  <c r="H109" i="114" s="1"/>
  <c r="H71" i="113"/>
  <c r="H72" i="113" s="1"/>
  <c r="H106" i="114"/>
  <c r="H69" i="113"/>
  <c r="H51" i="114"/>
  <c r="H24" i="113"/>
  <c r="H36" i="112"/>
  <c r="H108" i="112"/>
  <c r="H31" i="112"/>
  <c r="H51" i="63"/>
  <c r="H51" i="112"/>
  <c r="H21" i="114"/>
  <c r="H28" i="112"/>
  <c r="H33" i="114"/>
  <c r="H98" i="112"/>
  <c r="H73" i="114"/>
  <c r="H41" i="113"/>
  <c r="H73" i="112"/>
  <c r="H31" i="63"/>
  <c r="H31" i="62"/>
  <c r="H53" i="112"/>
  <c r="H23" i="114"/>
  <c r="H26" i="112"/>
  <c r="H31" i="114"/>
  <c r="H21" i="112"/>
  <c r="H76" i="63"/>
  <c r="H96" i="112"/>
  <c r="H71" i="114"/>
  <c r="H39" i="113"/>
  <c r="H71" i="112"/>
  <c r="H83" i="112"/>
  <c r="H33" i="63"/>
  <c r="H33" i="62"/>
  <c r="H23" i="112"/>
  <c r="H78" i="63"/>
  <c r="H33" i="112"/>
  <c r="H53" i="63"/>
  <c r="G53" i="114"/>
  <c r="G26" i="113"/>
  <c r="G38" i="112"/>
  <c r="G51" i="114"/>
  <c r="G24" i="113"/>
  <c r="G36" i="112"/>
  <c r="G17" i="112"/>
  <c r="G52" i="63"/>
  <c r="G52" i="62"/>
  <c r="G31" i="112"/>
  <c r="G76" i="63"/>
  <c r="G76" i="62"/>
  <c r="G81" i="112"/>
  <c r="G39" i="113"/>
  <c r="G71" i="114"/>
  <c r="G71" i="112"/>
  <c r="G32" i="112"/>
  <c r="G77" i="63"/>
  <c r="G77" i="62"/>
  <c r="G51" i="112"/>
  <c r="G21" i="114"/>
  <c r="G21" i="112"/>
  <c r="G16" i="112"/>
  <c r="G51" i="63"/>
  <c r="G51" i="62"/>
  <c r="G52" i="112"/>
  <c r="G22" i="114"/>
  <c r="G22" i="112"/>
  <c r="G82" i="112"/>
  <c r="G40" i="113"/>
  <c r="G72" i="114"/>
  <c r="G72" i="112"/>
  <c r="F78" i="63"/>
  <c r="F78" i="62"/>
  <c r="F33" i="63"/>
  <c r="F34" i="63" s="1"/>
  <c r="F33" i="62"/>
  <c r="F16" i="105"/>
  <c r="F51" i="63"/>
  <c r="F51" i="62"/>
  <c r="F52" i="63"/>
  <c r="F52" i="62"/>
  <c r="F76" i="63"/>
  <c r="F76" i="62"/>
  <c r="F18" i="105"/>
  <c r="F19" i="105" s="1"/>
  <c r="G19" i="105" s="1"/>
  <c r="X19" i="105" s="1"/>
  <c r="F53" i="63"/>
  <c r="F54" i="63" s="1"/>
  <c r="F53" i="62"/>
  <c r="N99" i="112"/>
  <c r="P96" i="112"/>
  <c r="AH96" i="112" s="1"/>
  <c r="O99" i="112"/>
  <c r="O86" i="112"/>
  <c r="O121" i="63"/>
  <c r="O121" i="62"/>
  <c r="O26" i="112"/>
  <c r="O131" i="63"/>
  <c r="O131" i="62"/>
  <c r="O46" i="112"/>
  <c r="O116" i="63"/>
  <c r="O116" i="62"/>
  <c r="O68" i="112"/>
  <c r="P66" i="112" s="1"/>
  <c r="O88" i="112"/>
  <c r="O123" i="63"/>
  <c r="O28" i="112"/>
  <c r="O133" i="63"/>
  <c r="O48" i="112"/>
  <c r="O118" i="63"/>
  <c r="J109" i="112"/>
  <c r="AA109" i="112" s="1"/>
  <c r="K81" i="112"/>
  <c r="K96" i="82"/>
  <c r="K81" i="106"/>
  <c r="K87" i="112"/>
  <c r="K122" i="63"/>
  <c r="K122" i="62"/>
  <c r="K47" i="112"/>
  <c r="K117" i="63"/>
  <c r="K117" i="62"/>
  <c r="K37" i="112"/>
  <c r="K77" i="106"/>
  <c r="K137" i="82"/>
  <c r="K23" i="112"/>
  <c r="K123" i="82"/>
  <c r="K73" i="106"/>
  <c r="K82" i="112"/>
  <c r="K97" i="82"/>
  <c r="K82" i="106"/>
  <c r="K88" i="112"/>
  <c r="K89" i="112" s="1"/>
  <c r="K123" i="63"/>
  <c r="K123" i="62"/>
  <c r="K46" i="112"/>
  <c r="K116" i="63"/>
  <c r="K116" i="62"/>
  <c r="K36" i="112"/>
  <c r="K136" i="82"/>
  <c r="K76" i="106"/>
  <c r="K22" i="112"/>
  <c r="K122" i="82"/>
  <c r="K72" i="106"/>
  <c r="K83" i="112"/>
  <c r="K83" i="106"/>
  <c r="K98" i="82"/>
  <c r="K21" i="112"/>
  <c r="K121" i="82"/>
  <c r="K71" i="106"/>
  <c r="K86" i="112"/>
  <c r="K121" i="63"/>
  <c r="K121" i="62"/>
  <c r="K48" i="112"/>
  <c r="K118" i="63"/>
  <c r="K118" i="62"/>
  <c r="K38" i="112"/>
  <c r="K78" i="106"/>
  <c r="K138" i="82"/>
  <c r="J49" i="112"/>
  <c r="I21" i="82"/>
  <c r="I31" i="112"/>
  <c r="I23" i="82"/>
  <c r="I33" i="112"/>
  <c r="N46" i="112"/>
  <c r="N116" i="63"/>
  <c r="N116" i="62"/>
  <c r="M83" i="112"/>
  <c r="M83" i="106"/>
  <c r="M81" i="106"/>
  <c r="L48" i="112"/>
  <c r="L118" i="63"/>
  <c r="L118" i="62"/>
  <c r="L46" i="112"/>
  <c r="L116" i="63"/>
  <c r="L116" i="62"/>
  <c r="AA134" i="112"/>
  <c r="H134" i="112"/>
  <c r="H71" i="105"/>
  <c r="H81" i="112"/>
  <c r="H56" i="63"/>
  <c r="H111" i="112"/>
  <c r="H58" i="63"/>
  <c r="H113" i="112"/>
  <c r="H109" i="112"/>
  <c r="F124" i="112"/>
  <c r="N64" i="112"/>
  <c r="J64" i="112"/>
  <c r="F64" i="112"/>
  <c r="O64" i="112"/>
  <c r="F74" i="112"/>
  <c r="P101" i="112"/>
  <c r="N104" i="112"/>
  <c r="O104" i="112"/>
  <c r="J104" i="112"/>
  <c r="F104" i="112"/>
  <c r="K104" i="112"/>
  <c r="F79" i="112"/>
  <c r="J119" i="112"/>
  <c r="F119" i="112"/>
  <c r="K44" i="112"/>
  <c r="O44" i="112"/>
  <c r="P56" i="112"/>
  <c r="K59" i="112"/>
  <c r="O59" i="112"/>
  <c r="N59" i="112"/>
  <c r="J59" i="112"/>
  <c r="F59" i="112"/>
  <c r="N69" i="112"/>
  <c r="J69" i="112"/>
  <c r="K69" i="112"/>
  <c r="F69" i="112"/>
  <c r="G99" i="112"/>
  <c r="X99" i="112" s="1"/>
  <c r="G114" i="112"/>
  <c r="F58" i="106"/>
  <c r="F59" i="106" s="1"/>
  <c r="W59" i="106" s="1"/>
  <c r="F68" i="82"/>
  <c r="F93" i="63"/>
  <c r="F94" i="63" s="1"/>
  <c r="F93" i="62"/>
  <c r="F123" i="63"/>
  <c r="F123" i="62"/>
  <c r="F67" i="82"/>
  <c r="F57" i="106"/>
  <c r="F92" i="63"/>
  <c r="F92" i="62"/>
  <c r="F121" i="63"/>
  <c r="F121" i="62"/>
  <c r="G58" i="63"/>
  <c r="G58" i="62"/>
  <c r="G56" i="63"/>
  <c r="G56" i="62"/>
  <c r="F133" i="82"/>
  <c r="F134" i="82" s="1"/>
  <c r="F23" i="105"/>
  <c r="F24" i="105" s="1"/>
  <c r="W24" i="105" s="1"/>
  <c r="F116" i="63"/>
  <c r="F116" i="62"/>
  <c r="F56" i="63"/>
  <c r="F56" i="62"/>
  <c r="F118" i="63"/>
  <c r="F118" i="62"/>
  <c r="F131" i="82"/>
  <c r="F21" i="105"/>
  <c r="F58" i="63"/>
  <c r="F59" i="63" s="1"/>
  <c r="F58" i="62"/>
  <c r="F21" i="106"/>
  <c r="F106" i="63"/>
  <c r="F106" i="62"/>
  <c r="F17" i="105"/>
  <c r="F32" i="106"/>
  <c r="F17" i="82"/>
  <c r="F43" i="105"/>
  <c r="F44" i="105" s="1"/>
  <c r="F23" i="82"/>
  <c r="F24" i="82" s="1"/>
  <c r="F33" i="105"/>
  <c r="F34" i="105" s="1"/>
  <c r="G37" i="105"/>
  <c r="F78" i="82"/>
  <c r="F38" i="106"/>
  <c r="F39" i="106" s="1"/>
  <c r="F56" i="82"/>
  <c r="F36" i="105"/>
  <c r="F93" i="82"/>
  <c r="F94" i="82" s="1"/>
  <c r="F68" i="106"/>
  <c r="F61" i="106"/>
  <c r="F37" i="82"/>
  <c r="F47" i="106"/>
  <c r="H26" i="106"/>
  <c r="H41" i="106"/>
  <c r="H76" i="106"/>
  <c r="H36" i="105"/>
  <c r="H76" i="105"/>
  <c r="H66" i="105"/>
  <c r="H51" i="105"/>
  <c r="J46" i="105"/>
  <c r="F22" i="106"/>
  <c r="F117" i="82"/>
  <c r="F72" i="105"/>
  <c r="F27" i="82"/>
  <c r="F57" i="105"/>
  <c r="F102" i="82"/>
  <c r="F52" i="105"/>
  <c r="G22" i="105"/>
  <c r="F76" i="105"/>
  <c r="F41" i="82"/>
  <c r="F61" i="105"/>
  <c r="F68" i="105"/>
  <c r="F69" i="105" s="1"/>
  <c r="F146" i="82"/>
  <c r="F26" i="105"/>
  <c r="G66" i="106"/>
  <c r="G56" i="106"/>
  <c r="G66" i="105"/>
  <c r="G46" i="106"/>
  <c r="G81" i="106"/>
  <c r="G61" i="105"/>
  <c r="H16" i="106"/>
  <c r="H56" i="105"/>
  <c r="F18" i="82"/>
  <c r="F19" i="82" s="1"/>
  <c r="F33" i="106"/>
  <c r="F34" i="106" s="1"/>
  <c r="F76" i="82"/>
  <c r="F36" i="106"/>
  <c r="F138" i="82"/>
  <c r="F139" i="82" s="1"/>
  <c r="F78" i="106"/>
  <c r="F91" i="82"/>
  <c r="F66" i="106"/>
  <c r="F123" i="82"/>
  <c r="F124" i="82" s="1"/>
  <c r="F73" i="106"/>
  <c r="F36" i="82"/>
  <c r="F46" i="106"/>
  <c r="H18" i="105"/>
  <c r="H68" i="106"/>
  <c r="H83" i="106"/>
  <c r="H73" i="106"/>
  <c r="H33" i="106"/>
  <c r="H48" i="106"/>
  <c r="H58" i="106"/>
  <c r="J68" i="106"/>
  <c r="J63" i="106"/>
  <c r="F23" i="106"/>
  <c r="F24" i="106" s="1"/>
  <c r="F118" i="82"/>
  <c r="F119" i="82" s="1"/>
  <c r="F73" i="105"/>
  <c r="F28" i="82"/>
  <c r="F29" i="82" s="1"/>
  <c r="F58" i="105"/>
  <c r="F59" i="105" s="1"/>
  <c r="F103" i="82"/>
  <c r="F104" i="82" s="1"/>
  <c r="F53" i="105"/>
  <c r="F54" i="105" s="1"/>
  <c r="F42" i="82"/>
  <c r="F77" i="105"/>
  <c r="F63" i="105"/>
  <c r="F64" i="105" s="1"/>
  <c r="F111" i="82"/>
  <c r="F46" i="105"/>
  <c r="F148" i="82"/>
  <c r="K149" i="82" s="1"/>
  <c r="F28" i="105"/>
  <c r="F29" i="105" s="1"/>
  <c r="G67" i="106"/>
  <c r="G57" i="106"/>
  <c r="G67" i="105"/>
  <c r="G47" i="106"/>
  <c r="G82" i="106"/>
  <c r="G62" i="105"/>
  <c r="H18" i="106"/>
  <c r="H58" i="105"/>
  <c r="F98" i="82"/>
  <c r="F99" i="82" s="1"/>
  <c r="F83" i="106"/>
  <c r="F16" i="82"/>
  <c r="F31" i="106"/>
  <c r="F76" i="106"/>
  <c r="G28" i="106"/>
  <c r="G57" i="105"/>
  <c r="G43" i="106"/>
  <c r="G44" i="106" s="1"/>
  <c r="G37" i="106"/>
  <c r="G63" i="106"/>
  <c r="G47" i="105"/>
  <c r="G78" i="106"/>
  <c r="G73" i="105"/>
  <c r="G72" i="106"/>
  <c r="G17" i="106"/>
  <c r="G53" i="105"/>
  <c r="G23" i="106"/>
  <c r="G77" i="105"/>
  <c r="G42" i="105"/>
  <c r="H23" i="105"/>
  <c r="H16" i="105"/>
  <c r="H66" i="106"/>
  <c r="H81" i="106"/>
  <c r="H71" i="106"/>
  <c r="H31" i="106"/>
  <c r="H46" i="106"/>
  <c r="H56" i="106"/>
  <c r="J66" i="106"/>
  <c r="J61" i="106"/>
  <c r="M63" i="106"/>
  <c r="M48" i="82"/>
  <c r="G21" i="105"/>
  <c r="H43" i="105"/>
  <c r="F121" i="82"/>
  <c r="F71" i="106"/>
  <c r="J83" i="106"/>
  <c r="F78" i="105"/>
  <c r="F43" i="82"/>
  <c r="F44" i="82" s="1"/>
  <c r="F81" i="82"/>
  <c r="F26" i="106"/>
  <c r="F113" i="82"/>
  <c r="F114" i="82" s="1"/>
  <c r="F48" i="105"/>
  <c r="H21" i="106"/>
  <c r="H61" i="105"/>
  <c r="H61" i="106"/>
  <c r="F96" i="82"/>
  <c r="F81" i="106"/>
  <c r="F58" i="82"/>
  <c r="F59" i="82" s="1"/>
  <c r="F38" i="105"/>
  <c r="F39" i="105" s="1"/>
  <c r="F41" i="105"/>
  <c r="F63" i="106"/>
  <c r="F21" i="82"/>
  <c r="F31" i="105"/>
  <c r="F38" i="82"/>
  <c r="F39" i="82" s="1"/>
  <c r="F48" i="106"/>
  <c r="F49" i="106" s="1"/>
  <c r="G36" i="105"/>
  <c r="G26" i="106"/>
  <c r="G56" i="105"/>
  <c r="G41" i="106"/>
  <c r="G36" i="106"/>
  <c r="G61" i="106"/>
  <c r="G46" i="105"/>
  <c r="G76" i="106"/>
  <c r="G71" i="106"/>
  <c r="G16" i="106"/>
  <c r="G51" i="105"/>
  <c r="G21" i="106"/>
  <c r="G76" i="105"/>
  <c r="G41" i="105"/>
  <c r="H21" i="105"/>
  <c r="H73" i="105"/>
  <c r="H28" i="106"/>
  <c r="H43" i="106"/>
  <c r="H78" i="106"/>
  <c r="H38" i="105"/>
  <c r="H78" i="105"/>
  <c r="H68" i="105"/>
  <c r="H53" i="105"/>
  <c r="J48" i="105"/>
  <c r="J76" i="106"/>
  <c r="J136" i="82"/>
  <c r="M46" i="82"/>
  <c r="M61" i="106"/>
  <c r="F116" i="82"/>
  <c r="F71" i="105"/>
  <c r="F26" i="82"/>
  <c r="F56" i="105"/>
  <c r="F101" i="82"/>
  <c r="F51" i="105"/>
  <c r="H41" i="105"/>
  <c r="J101" i="63"/>
  <c r="J81" i="106"/>
  <c r="F66" i="105"/>
  <c r="F83" i="82"/>
  <c r="F84" i="82" s="1"/>
  <c r="F28" i="106"/>
  <c r="F29" i="106" s="1"/>
  <c r="H23" i="106"/>
  <c r="H63" i="105"/>
  <c r="H63" i="106"/>
  <c r="O31" i="105"/>
  <c r="O33" i="105"/>
  <c r="O41" i="105"/>
  <c r="O71" i="82"/>
  <c r="O43" i="105"/>
  <c r="O73" i="82"/>
  <c r="O26" i="105"/>
  <c r="O146" i="82"/>
  <c r="O28" i="105"/>
  <c r="O148" i="82"/>
  <c r="O51" i="105"/>
  <c r="O101" i="82"/>
  <c r="O16" i="106"/>
  <c r="O61" i="82"/>
  <c r="O51" i="82"/>
  <c r="O26" i="106"/>
  <c r="O81" i="82"/>
  <c r="O36" i="105"/>
  <c r="O56" i="82"/>
  <c r="O36" i="106"/>
  <c r="O16" i="105"/>
  <c r="O36" i="82"/>
  <c r="O21" i="105"/>
  <c r="O131" i="82"/>
  <c r="O31" i="106"/>
  <c r="O16" i="82"/>
  <c r="O21" i="106"/>
  <c r="O106" i="63"/>
  <c r="O106" i="62"/>
  <c r="O53" i="105"/>
  <c r="O103" i="82"/>
  <c r="O18" i="106"/>
  <c r="O63" i="82"/>
  <c r="O53" i="82"/>
  <c r="O28" i="106"/>
  <c r="O83" i="82"/>
  <c r="O38" i="105"/>
  <c r="O58" i="82"/>
  <c r="O38" i="106"/>
  <c r="O18" i="105"/>
  <c r="O38" i="82"/>
  <c r="O23" i="105"/>
  <c r="O133" i="82"/>
  <c r="O33" i="106"/>
  <c r="O18" i="82"/>
  <c r="O23" i="106"/>
  <c r="O108" i="63"/>
  <c r="K21" i="105"/>
  <c r="K131" i="82"/>
  <c r="K23" i="105"/>
  <c r="K133" i="82"/>
  <c r="K26" i="105"/>
  <c r="K146" i="82"/>
  <c r="K28" i="105"/>
  <c r="K148" i="82"/>
  <c r="K56" i="106"/>
  <c r="K66" i="82"/>
  <c r="K58" i="106"/>
  <c r="K68" i="82"/>
  <c r="K16" i="106"/>
  <c r="K61" i="82"/>
  <c r="K18" i="106"/>
  <c r="K63" i="82"/>
  <c r="K41" i="106"/>
  <c r="K51" i="82"/>
  <c r="K43" i="106"/>
  <c r="K53" i="82"/>
  <c r="K36" i="105"/>
  <c r="K56" i="82"/>
  <c r="K38" i="105"/>
  <c r="K58" i="82"/>
  <c r="K51" i="106"/>
  <c r="K141" i="82"/>
  <c r="K53" i="106"/>
  <c r="K143" i="82"/>
  <c r="K16" i="105"/>
  <c r="K106" i="82"/>
  <c r="K18" i="105"/>
  <c r="K108" i="82"/>
  <c r="K46" i="106"/>
  <c r="K36" i="82"/>
  <c r="K48" i="106"/>
  <c r="K38" i="82"/>
  <c r="K61" i="105"/>
  <c r="K86" i="82"/>
  <c r="K63" i="105"/>
  <c r="K88" i="82"/>
  <c r="K33" i="106"/>
  <c r="K18" i="82"/>
  <c r="K31" i="106"/>
  <c r="K16" i="82"/>
  <c r="K28" i="106"/>
  <c r="K83" i="82"/>
  <c r="K26" i="106"/>
  <c r="K81" i="82"/>
  <c r="K23" i="106"/>
  <c r="K33" i="82"/>
  <c r="K21" i="106"/>
  <c r="K31" i="82"/>
  <c r="K58" i="105"/>
  <c r="K56" i="105"/>
  <c r="K53" i="105"/>
  <c r="K103" i="82"/>
  <c r="K51" i="105"/>
  <c r="K101" i="82"/>
  <c r="K48" i="105"/>
  <c r="K113" i="82"/>
  <c r="K46" i="105"/>
  <c r="K111" i="82"/>
  <c r="K57" i="106"/>
  <c r="K67" i="82"/>
  <c r="K27" i="105"/>
  <c r="K147" i="82"/>
  <c r="K22" i="105"/>
  <c r="K132" i="82"/>
  <c r="K42" i="106"/>
  <c r="K52" i="82"/>
  <c r="K37" i="105"/>
  <c r="K57" i="82"/>
  <c r="K52" i="106"/>
  <c r="K142" i="82"/>
  <c r="K17" i="105"/>
  <c r="K107" i="82"/>
  <c r="K47" i="106"/>
  <c r="K37" i="82"/>
  <c r="K62" i="105"/>
  <c r="K87" i="82"/>
  <c r="K67" i="63"/>
  <c r="K67" i="62"/>
  <c r="K32" i="106"/>
  <c r="K17" i="82"/>
  <c r="K22" i="106"/>
  <c r="K32" i="82"/>
  <c r="K57" i="105"/>
  <c r="K27" i="106"/>
  <c r="K82" i="82"/>
  <c r="K52" i="105"/>
  <c r="K102" i="82"/>
  <c r="K47" i="105"/>
  <c r="K112" i="82"/>
  <c r="N141" i="82"/>
  <c r="N53" i="105"/>
  <c r="N103" i="82"/>
  <c r="N28" i="105"/>
  <c r="N148" i="82"/>
  <c r="M68" i="105"/>
  <c r="M128" i="82"/>
  <c r="M28" i="105"/>
  <c r="M148" i="82"/>
  <c r="M48" i="105"/>
  <c r="M16" i="106"/>
  <c r="M61" i="82"/>
  <c r="M66" i="105"/>
  <c r="M126" i="82"/>
  <c r="M26" i="105"/>
  <c r="M146" i="82"/>
  <c r="M46" i="105"/>
  <c r="M18" i="106"/>
  <c r="M63" i="82"/>
  <c r="J46" i="106"/>
  <c r="J36" i="82"/>
  <c r="J48" i="106"/>
  <c r="J38" i="82"/>
  <c r="J21" i="105"/>
  <c r="J131" i="82"/>
  <c r="J23" i="105"/>
  <c r="J133" i="82"/>
  <c r="J26" i="105"/>
  <c r="J146" i="82"/>
  <c r="J28" i="105"/>
  <c r="J148" i="82"/>
  <c r="J56" i="106"/>
  <c r="J58" i="106"/>
  <c r="J16" i="106"/>
  <c r="J61" i="82"/>
  <c r="J18" i="106"/>
  <c r="J63" i="82"/>
  <c r="J16" i="105"/>
  <c r="J18" i="105"/>
  <c r="J41" i="106"/>
  <c r="J51" i="82"/>
  <c r="J43" i="106"/>
  <c r="J53" i="82"/>
  <c r="J26" i="106"/>
  <c r="J81" i="82"/>
  <c r="J28" i="106"/>
  <c r="J83" i="82"/>
  <c r="J51" i="106"/>
  <c r="J141" i="82"/>
  <c r="J53" i="106"/>
  <c r="J143" i="82"/>
  <c r="J58" i="105"/>
  <c r="J56" i="105"/>
  <c r="J23" i="106"/>
  <c r="J21" i="106"/>
  <c r="J36" i="105"/>
  <c r="J56" i="82"/>
  <c r="J38" i="105"/>
  <c r="J58" i="82"/>
  <c r="J51" i="105"/>
  <c r="J101" i="82"/>
  <c r="J53" i="105"/>
  <c r="J103" i="82"/>
  <c r="J41" i="105"/>
  <c r="J71" i="82"/>
  <c r="J43" i="105"/>
  <c r="J73" i="82"/>
  <c r="J91" i="82"/>
  <c r="J31" i="105"/>
  <c r="J33" i="105"/>
  <c r="J38" i="106"/>
  <c r="J36" i="106"/>
  <c r="J63" i="105"/>
  <c r="J61" i="105"/>
  <c r="J31" i="106"/>
  <c r="J33" i="106"/>
  <c r="J66" i="105"/>
  <c r="J126" i="82"/>
  <c r="J68" i="105"/>
  <c r="J128" i="82"/>
  <c r="I68" i="105"/>
  <c r="I128" i="82"/>
  <c r="I66" i="105"/>
  <c r="I126" i="82"/>
  <c r="I66" i="82"/>
  <c r="I56" i="106"/>
  <c r="I68" i="82"/>
  <c r="I58" i="106"/>
  <c r="N71" i="105"/>
  <c r="N33" i="106"/>
  <c r="N68" i="105"/>
  <c r="N128" i="82"/>
  <c r="N41" i="105"/>
  <c r="N71" i="82"/>
  <c r="N28" i="106"/>
  <c r="N83" i="82"/>
  <c r="N38" i="106"/>
  <c r="N38" i="82"/>
  <c r="N46" i="105"/>
  <c r="N33" i="105"/>
  <c r="N73" i="106"/>
  <c r="N78" i="105"/>
  <c r="N93" i="82"/>
  <c r="N68" i="106"/>
  <c r="N18" i="105"/>
  <c r="N73" i="105"/>
  <c r="M33" i="106"/>
  <c r="M26" i="106"/>
  <c r="M81" i="82"/>
  <c r="M73" i="106"/>
  <c r="M48" i="106"/>
  <c r="M38" i="82"/>
  <c r="M71" i="105"/>
  <c r="M38" i="106"/>
  <c r="M31" i="105"/>
  <c r="M78" i="105"/>
  <c r="M66" i="106"/>
  <c r="M21" i="106"/>
  <c r="M18" i="105"/>
  <c r="M53" i="105"/>
  <c r="M103" i="82"/>
  <c r="M41" i="106"/>
  <c r="M51" i="82"/>
  <c r="M43" i="105"/>
  <c r="M73" i="82"/>
  <c r="M21" i="105"/>
  <c r="M131" i="82"/>
  <c r="M38" i="105"/>
  <c r="M58" i="82"/>
  <c r="M31" i="106"/>
  <c r="M28" i="106"/>
  <c r="M83" i="82"/>
  <c r="M71" i="106"/>
  <c r="M46" i="106"/>
  <c r="M36" i="82"/>
  <c r="M73" i="105"/>
  <c r="M36" i="106"/>
  <c r="M33" i="105"/>
  <c r="M76" i="105"/>
  <c r="M68" i="106"/>
  <c r="M23" i="106"/>
  <c r="M16" i="105"/>
  <c r="M51" i="105"/>
  <c r="M101" i="82"/>
  <c r="M43" i="106"/>
  <c r="M53" i="82"/>
  <c r="M41" i="105"/>
  <c r="M71" i="82"/>
  <c r="M23" i="105"/>
  <c r="M133" i="82"/>
  <c r="M36" i="105"/>
  <c r="M56" i="82"/>
  <c r="L81" i="106"/>
  <c r="L76" i="105"/>
  <c r="L41" i="82"/>
  <c r="L51" i="105"/>
  <c r="L101" i="82"/>
  <c r="L21" i="106"/>
  <c r="L26" i="106"/>
  <c r="L81" i="82"/>
  <c r="L36" i="105"/>
  <c r="L56" i="82"/>
  <c r="L71" i="105"/>
  <c r="L41" i="106"/>
  <c r="L51" i="82"/>
  <c r="L36" i="106"/>
  <c r="L31" i="105"/>
  <c r="L61" i="105"/>
  <c r="L21" i="105"/>
  <c r="L131" i="82"/>
  <c r="L66" i="105"/>
  <c r="L126" i="82"/>
  <c r="L68" i="106"/>
  <c r="L33" i="106"/>
  <c r="L18" i="105"/>
  <c r="L58" i="105"/>
  <c r="L73" i="106"/>
  <c r="L18" i="106"/>
  <c r="L63" i="82"/>
  <c r="L48" i="105"/>
  <c r="L61" i="106"/>
  <c r="L83" i="106"/>
  <c r="L43" i="82"/>
  <c r="L78" i="105"/>
  <c r="L53" i="105"/>
  <c r="L103" i="82"/>
  <c r="L23" i="106"/>
  <c r="L28" i="106"/>
  <c r="L83" i="82"/>
  <c r="L38" i="105"/>
  <c r="L58" i="82"/>
  <c r="L73" i="105"/>
  <c r="L43" i="106"/>
  <c r="L53" i="82"/>
  <c r="L38" i="106"/>
  <c r="L33" i="105"/>
  <c r="L63" i="105"/>
  <c r="L23" i="105"/>
  <c r="L133" i="82"/>
  <c r="L68" i="105"/>
  <c r="L128" i="82"/>
  <c r="L66" i="106"/>
  <c r="L31" i="106"/>
  <c r="L16" i="105"/>
  <c r="L56" i="105"/>
  <c r="L71" i="106"/>
  <c r="L16" i="106"/>
  <c r="L61" i="82"/>
  <c r="L46" i="105"/>
  <c r="L63" i="106"/>
  <c r="H131" i="82"/>
  <c r="H83" i="82"/>
  <c r="H53" i="82"/>
  <c r="H98" i="82"/>
  <c r="H113" i="82"/>
  <c r="H138" i="82"/>
  <c r="H58" i="82"/>
  <c r="H38" i="82"/>
  <c r="H83" i="63"/>
  <c r="H128" i="82"/>
  <c r="H93" i="63"/>
  <c r="H103" i="82"/>
  <c r="H73" i="82"/>
  <c r="H106" i="63"/>
  <c r="H61" i="82"/>
  <c r="H66" i="63"/>
  <c r="H141" i="63"/>
  <c r="H133" i="82"/>
  <c r="H81" i="82"/>
  <c r="H51" i="82"/>
  <c r="H96" i="82"/>
  <c r="H111" i="82"/>
  <c r="H136" i="82"/>
  <c r="H56" i="82"/>
  <c r="H41" i="82"/>
  <c r="H36" i="82"/>
  <c r="H81" i="63"/>
  <c r="H126" i="82"/>
  <c r="H91" i="63"/>
  <c r="H101" i="82"/>
  <c r="H71" i="82"/>
  <c r="H108" i="63"/>
  <c r="H63" i="82"/>
  <c r="H68" i="63"/>
  <c r="H143" i="63"/>
  <c r="G56" i="82"/>
  <c r="G81" i="82"/>
  <c r="G51" i="82"/>
  <c r="G141" i="63"/>
  <c r="G136" i="82"/>
  <c r="G61" i="82"/>
  <c r="G101" i="82"/>
  <c r="G41" i="82"/>
  <c r="G71" i="82"/>
  <c r="G131" i="82"/>
  <c r="G132" i="82"/>
  <c r="G126" i="82"/>
  <c r="G36" i="82"/>
  <c r="G57" i="82"/>
  <c r="G83" i="82"/>
  <c r="G53" i="82"/>
  <c r="G143" i="63"/>
  <c r="G138" i="82"/>
  <c r="G62" i="82"/>
  <c r="G103" i="82"/>
  <c r="G72" i="82"/>
  <c r="G127" i="82"/>
  <c r="G37" i="82"/>
  <c r="F128" i="82"/>
  <c r="F83" i="63"/>
  <c r="F84" i="63" s="1"/>
  <c r="F83" i="62"/>
  <c r="F84" i="62" s="1"/>
  <c r="U84" i="62" s="1"/>
  <c r="F126" i="82"/>
  <c r="F81" i="63"/>
  <c r="F81" i="62"/>
  <c r="F86" i="82"/>
  <c r="F66" i="63"/>
  <c r="F66" i="62"/>
  <c r="F88" i="82"/>
  <c r="F68" i="63"/>
  <c r="F69" i="63" s="1"/>
  <c r="F68" i="62"/>
  <c r="F33" i="82"/>
  <c r="F108" i="63"/>
  <c r="F109" i="63" s="1"/>
  <c r="F108" i="62"/>
  <c r="F32" i="82"/>
  <c r="F107" i="63"/>
  <c r="F107" i="62"/>
  <c r="F73" i="82"/>
  <c r="F43" i="63"/>
  <c r="F44" i="63" s="1"/>
  <c r="F43" i="62"/>
  <c r="F44" i="62" s="1"/>
  <c r="U44" i="62" s="1"/>
  <c r="F71" i="82"/>
  <c r="F41" i="63"/>
  <c r="F41" i="62"/>
  <c r="F136" i="82"/>
  <c r="F143" i="63"/>
  <c r="F144" i="63" s="1"/>
  <c r="U144" i="63" s="1"/>
  <c r="F48" i="82"/>
  <c r="F49" i="82" s="1"/>
  <c r="F141" i="63"/>
  <c r="F46" i="82"/>
  <c r="K68" i="63"/>
  <c r="K68" i="62"/>
  <c r="K81" i="63"/>
  <c r="K81" i="62"/>
  <c r="K83" i="63"/>
  <c r="K83" i="62"/>
  <c r="K66" i="63"/>
  <c r="K66" i="62"/>
  <c r="K82" i="63"/>
  <c r="K82" i="62"/>
  <c r="J93" i="82"/>
  <c r="O78" i="82"/>
  <c r="O76" i="82"/>
  <c r="N83" i="63"/>
  <c r="N83" i="62"/>
  <c r="N41" i="63"/>
  <c r="N41" i="62"/>
  <c r="M91" i="82"/>
  <c r="M26" i="82"/>
  <c r="M31" i="82"/>
  <c r="M118" i="82"/>
  <c r="M93" i="82"/>
  <c r="M28" i="82"/>
  <c r="M33" i="82"/>
  <c r="M116" i="82"/>
  <c r="L68" i="63"/>
  <c r="L68" i="62"/>
  <c r="L83" i="63"/>
  <c r="L83" i="62"/>
  <c r="L66" i="63"/>
  <c r="L66" i="62"/>
  <c r="L81" i="63"/>
  <c r="L81" i="62"/>
  <c r="G28" i="112"/>
  <c r="H41" i="63"/>
  <c r="H41" i="62"/>
  <c r="H43" i="63"/>
  <c r="H43" i="62"/>
  <c r="G108" i="63"/>
  <c r="G108" i="62"/>
  <c r="G42" i="63"/>
  <c r="G42" i="62"/>
  <c r="G91" i="63"/>
  <c r="G91" i="62"/>
  <c r="G81" i="63"/>
  <c r="G81" i="62"/>
  <c r="G66" i="63"/>
  <c r="G66" i="62"/>
  <c r="G106" i="63"/>
  <c r="G106" i="62"/>
  <c r="G41" i="63"/>
  <c r="G41" i="62"/>
  <c r="G92" i="63"/>
  <c r="G92" i="62"/>
  <c r="G82" i="63"/>
  <c r="G82" i="62"/>
  <c r="G67" i="63"/>
  <c r="G67" i="62"/>
  <c r="O113" i="82"/>
  <c r="O33" i="82"/>
  <c r="O111" i="82"/>
  <c r="O31" i="82"/>
  <c r="O68" i="82"/>
  <c r="O66" i="82"/>
  <c r="O108" i="82"/>
  <c r="O106" i="82"/>
  <c r="O88" i="82"/>
  <c r="O23" i="82"/>
  <c r="O86" i="82"/>
  <c r="O21" i="82"/>
  <c r="O118" i="82"/>
  <c r="O116" i="82"/>
  <c r="N28" i="82"/>
  <c r="N123" i="82"/>
  <c r="N33" i="82"/>
  <c r="N78" i="82"/>
  <c r="N111" i="82"/>
  <c r="N108" i="82"/>
  <c r="N118" i="82"/>
  <c r="M23" i="82"/>
  <c r="M21" i="82"/>
  <c r="M121" i="82"/>
  <c r="M123" i="82"/>
  <c r="M88" i="82"/>
  <c r="M86" i="82"/>
  <c r="M43" i="82"/>
  <c r="M16" i="82"/>
  <c r="M18" i="82"/>
  <c r="M113" i="82"/>
  <c r="M111" i="82"/>
  <c r="M66" i="82"/>
  <c r="M68" i="82"/>
  <c r="M108" i="82"/>
  <c r="M106" i="82"/>
  <c r="M76" i="82"/>
  <c r="M78" i="82"/>
  <c r="M96" i="82"/>
  <c r="M98" i="82"/>
  <c r="L96" i="82"/>
  <c r="L98" i="82"/>
  <c r="L111" i="82"/>
  <c r="L113" i="82"/>
  <c r="L86" i="82"/>
  <c r="L88" i="82"/>
  <c r="L78" i="82"/>
  <c r="L76" i="82"/>
  <c r="L18" i="82"/>
  <c r="L16" i="82"/>
  <c r="L66" i="82"/>
  <c r="L68" i="82"/>
  <c r="L118" i="82"/>
  <c r="L116" i="82"/>
  <c r="L26" i="82"/>
  <c r="L28" i="82"/>
  <c r="L106" i="82"/>
  <c r="L108" i="82"/>
  <c r="L121" i="82"/>
  <c r="L123" i="82"/>
  <c r="L23" i="82"/>
  <c r="L21" i="82"/>
  <c r="K22" i="82"/>
  <c r="K27" i="82"/>
  <c r="K26" i="82"/>
  <c r="K28" i="82"/>
  <c r="K23" i="82"/>
  <c r="K21" i="82"/>
  <c r="J106" i="82"/>
  <c r="J108" i="82"/>
  <c r="J46" i="82"/>
  <c r="J48" i="82"/>
  <c r="J43" i="82"/>
  <c r="J113" i="82"/>
  <c r="J111" i="82"/>
  <c r="J26" i="82"/>
  <c r="J28" i="82"/>
  <c r="J123" i="82"/>
  <c r="J18" i="82"/>
  <c r="J121" i="82"/>
  <c r="J16" i="82"/>
  <c r="J33" i="82"/>
  <c r="J21" i="82"/>
  <c r="J31" i="82"/>
  <c r="J23" i="82"/>
  <c r="J76" i="82"/>
  <c r="J116" i="82"/>
  <c r="J118" i="82"/>
  <c r="J78" i="82"/>
  <c r="J86" i="82"/>
  <c r="J88" i="82"/>
  <c r="I43" i="82"/>
  <c r="I48" i="82"/>
  <c r="I46" i="82"/>
  <c r="H118" i="82"/>
  <c r="H88" i="82"/>
  <c r="H78" i="82"/>
  <c r="H28" i="82"/>
  <c r="H108" i="82"/>
  <c r="H68" i="82"/>
  <c r="H123" i="82"/>
  <c r="H23" i="82"/>
  <c r="H48" i="82"/>
  <c r="H16" i="82"/>
  <c r="H31" i="82"/>
  <c r="H116" i="82"/>
  <c r="H86" i="82"/>
  <c r="H76" i="82"/>
  <c r="H26" i="82"/>
  <c r="H106" i="82"/>
  <c r="H66" i="82"/>
  <c r="H121" i="82"/>
  <c r="H21" i="82"/>
  <c r="H46" i="82"/>
  <c r="H18" i="82"/>
  <c r="H43" i="82"/>
  <c r="H33" i="82"/>
  <c r="G92" i="82"/>
  <c r="G48" i="82"/>
  <c r="G42" i="82"/>
  <c r="G33" i="82"/>
  <c r="G22" i="82"/>
  <c r="G96" i="82"/>
  <c r="G97" i="82"/>
  <c r="G106" i="82"/>
  <c r="G111" i="82"/>
  <c r="G116" i="82"/>
  <c r="G121" i="82"/>
  <c r="G67" i="82"/>
  <c r="G91" i="82"/>
  <c r="G86" i="82"/>
  <c r="G76" i="82"/>
  <c r="G66" i="82"/>
  <c r="G46" i="82"/>
  <c r="G31" i="82"/>
  <c r="G26" i="82"/>
  <c r="G21" i="82"/>
  <c r="G16" i="82"/>
  <c r="G107" i="82"/>
  <c r="G112" i="82"/>
  <c r="G122" i="82"/>
  <c r="F109" i="82"/>
  <c r="N43" i="82"/>
  <c r="N18" i="82"/>
  <c r="L48" i="82"/>
  <c r="L33" i="82"/>
  <c r="L93" i="82"/>
  <c r="L46" i="82"/>
  <c r="L31" i="82"/>
  <c r="L91" i="82"/>
  <c r="K18" i="63"/>
  <c r="K16" i="63"/>
  <c r="J58" i="63"/>
  <c r="J68" i="82"/>
  <c r="J78" i="63"/>
  <c r="J68" i="63"/>
  <c r="J98" i="82"/>
  <c r="J56" i="63"/>
  <c r="J66" i="82"/>
  <c r="J76" i="63"/>
  <c r="J66" i="63"/>
  <c r="J96" i="82"/>
  <c r="H46" i="63"/>
  <c r="H91" i="82"/>
  <c r="H133" i="63"/>
  <c r="H48" i="63"/>
  <c r="H93" i="82"/>
  <c r="H131" i="63"/>
  <c r="O126" i="63"/>
  <c r="O126" i="62"/>
  <c r="O128" i="63"/>
  <c r="J27" i="50"/>
  <c r="K22" i="50"/>
  <c r="K15" i="50"/>
  <c r="J26" i="50"/>
  <c r="J16" i="50"/>
  <c r="K45" i="50"/>
  <c r="N38" i="105" s="1"/>
  <c r="K132" i="63"/>
  <c r="K132" i="62"/>
  <c r="K127" i="63"/>
  <c r="K127" i="62"/>
  <c r="F132" i="63"/>
  <c r="F132" i="62"/>
  <c r="F131" i="63"/>
  <c r="F131" i="62"/>
  <c r="F133" i="63"/>
  <c r="F134" i="63" s="1"/>
  <c r="F133" i="62"/>
  <c r="F48" i="63"/>
  <c r="F49" i="63" s="1"/>
  <c r="F48" i="62"/>
  <c r="F49" i="62" s="1"/>
  <c r="U49" i="62" s="1"/>
  <c r="F46" i="63"/>
  <c r="F46" i="62"/>
  <c r="F113" i="63"/>
  <c r="F114" i="63" s="1"/>
  <c r="F113" i="62"/>
  <c r="F111" i="63"/>
  <c r="F111" i="62"/>
  <c r="F128" i="63"/>
  <c r="F129" i="63" s="1"/>
  <c r="F128" i="62"/>
  <c r="F126" i="63"/>
  <c r="F126" i="62"/>
  <c r="K128" i="63"/>
  <c r="K128" i="62"/>
  <c r="K126" i="63"/>
  <c r="K126" i="62"/>
  <c r="K131" i="63"/>
  <c r="K131" i="62"/>
  <c r="K133" i="63"/>
  <c r="K133" i="62"/>
  <c r="N128" i="63"/>
  <c r="N128" i="62"/>
  <c r="N111" i="63"/>
  <c r="N111" i="62"/>
  <c r="N113" i="63"/>
  <c r="L111" i="63"/>
  <c r="L111" i="62"/>
  <c r="L113" i="62"/>
  <c r="L113" i="63"/>
  <c r="J131" i="63"/>
  <c r="J131" i="62"/>
  <c r="J138" i="63"/>
  <c r="J138" i="62"/>
  <c r="J83" i="63"/>
  <c r="J83" i="62"/>
  <c r="J146" i="63"/>
  <c r="J141" i="62"/>
  <c r="J63" i="63"/>
  <c r="J63" i="62"/>
  <c r="J103" i="63"/>
  <c r="J73" i="63"/>
  <c r="J128" i="62"/>
  <c r="J128" i="63"/>
  <c r="J33" i="63"/>
  <c r="J118" i="63"/>
  <c r="J118" i="62"/>
  <c r="J121" i="63"/>
  <c r="J121" i="62"/>
  <c r="J133" i="63"/>
  <c r="J133" i="62"/>
  <c r="J136" i="63"/>
  <c r="J136" i="62"/>
  <c r="J81" i="63"/>
  <c r="J81" i="62"/>
  <c r="J148" i="63"/>
  <c r="J143" i="62"/>
  <c r="J151" i="63"/>
  <c r="J146" i="62"/>
  <c r="J61" i="63"/>
  <c r="J61" i="62"/>
  <c r="J71" i="63"/>
  <c r="J126" i="62"/>
  <c r="J126" i="63"/>
  <c r="J31" i="63"/>
  <c r="J116" i="63"/>
  <c r="J116" i="62"/>
  <c r="J123" i="63"/>
  <c r="J123" i="62"/>
  <c r="I131" i="63"/>
  <c r="I133" i="63"/>
  <c r="H111" i="63"/>
  <c r="H111" i="62"/>
  <c r="H126" i="63"/>
  <c r="H113" i="63"/>
  <c r="H113" i="62"/>
  <c r="H128" i="63"/>
  <c r="G131" i="63"/>
  <c r="G131" i="62"/>
  <c r="G46" i="63"/>
  <c r="G46" i="62"/>
  <c r="G111" i="63"/>
  <c r="G111" i="62"/>
  <c r="G127" i="63"/>
  <c r="G127" i="62"/>
  <c r="G132" i="63"/>
  <c r="G132" i="62"/>
  <c r="G112" i="63"/>
  <c r="G112" i="62"/>
  <c r="G126" i="63"/>
  <c r="G126" i="62"/>
  <c r="A55" i="51"/>
  <c r="O31" i="63"/>
  <c r="O31" i="62"/>
  <c r="O33" i="63"/>
  <c r="O33" i="62"/>
  <c r="O71" i="63"/>
  <c r="O71" i="62"/>
  <c r="O73" i="63"/>
  <c r="O91" i="63"/>
  <c r="O91" i="62"/>
  <c r="O93" i="63"/>
  <c r="O26" i="63"/>
  <c r="O26" i="62"/>
  <c r="O28" i="63"/>
  <c r="O36" i="63"/>
  <c r="O36" i="62"/>
  <c r="O38" i="63"/>
  <c r="O51" i="63"/>
  <c r="O51" i="62"/>
  <c r="O53" i="63"/>
  <c r="O21" i="63"/>
  <c r="O21" i="62"/>
  <c r="O23" i="63"/>
  <c r="O46" i="63"/>
  <c r="O46" i="62"/>
  <c r="O48" i="63"/>
  <c r="O41" i="63"/>
  <c r="O41" i="62"/>
  <c r="O43" i="63"/>
  <c r="N48" i="63"/>
  <c r="N48" i="62"/>
  <c r="N51" i="63"/>
  <c r="N51" i="62"/>
  <c r="N53" i="63"/>
  <c r="N53" i="62"/>
  <c r="N98" i="63"/>
  <c r="N98" i="62"/>
  <c r="N38" i="63"/>
  <c r="N38" i="62"/>
  <c r="N58" i="63"/>
  <c r="N58" i="62"/>
  <c r="N71" i="63"/>
  <c r="N71" i="62"/>
  <c r="N73" i="63"/>
  <c r="N73" i="62"/>
  <c r="N16" i="63"/>
  <c r="N16" i="62"/>
  <c r="N18" i="63"/>
  <c r="N18" i="62"/>
  <c r="N28" i="63"/>
  <c r="N28" i="62"/>
  <c r="N78" i="63"/>
  <c r="N78" i="62"/>
  <c r="L56" i="63"/>
  <c r="L56" i="62"/>
  <c r="L58" i="63"/>
  <c r="L58" i="62"/>
  <c r="L86" i="63"/>
  <c r="L86" i="62"/>
  <c r="L88" i="63"/>
  <c r="L88" i="62"/>
  <c r="L16" i="63"/>
  <c r="L16" i="62"/>
  <c r="L18" i="63"/>
  <c r="L18" i="62"/>
  <c r="L146" i="63"/>
  <c r="L141" i="62"/>
  <c r="L148" i="63"/>
  <c r="L143" i="62"/>
  <c r="L131" i="63"/>
  <c r="L131" i="62"/>
  <c r="L133" i="63"/>
  <c r="L133" i="62"/>
  <c r="L136" i="63"/>
  <c r="L136" i="62"/>
  <c r="L138" i="63"/>
  <c r="L138" i="62"/>
  <c r="L76" i="63"/>
  <c r="L76" i="62"/>
  <c r="L78" i="63"/>
  <c r="L78" i="62"/>
  <c r="L51" i="63"/>
  <c r="L51" i="62"/>
  <c r="L53" i="63"/>
  <c r="L53" i="62"/>
  <c r="L98" i="63"/>
  <c r="L98" i="62"/>
  <c r="L96" i="63"/>
  <c r="L96" i="62"/>
  <c r="L106" i="63"/>
  <c r="L106" i="62"/>
  <c r="L108" i="63"/>
  <c r="L108" i="62"/>
  <c r="L141" i="63"/>
  <c r="L143" i="63"/>
  <c r="L126" i="63"/>
  <c r="L126" i="62"/>
  <c r="L128" i="63"/>
  <c r="L128" i="62"/>
  <c r="L26" i="63"/>
  <c r="L26" i="62"/>
  <c r="L28" i="63"/>
  <c r="L28" i="62"/>
  <c r="L71" i="63"/>
  <c r="L71" i="62"/>
  <c r="L73" i="63"/>
  <c r="L73" i="62"/>
  <c r="L121" i="63"/>
  <c r="L121" i="62"/>
  <c r="L123" i="63"/>
  <c r="L123" i="62"/>
  <c r="L46" i="63"/>
  <c r="L46" i="62"/>
  <c r="L48" i="63"/>
  <c r="L48" i="62"/>
  <c r="L91" i="63"/>
  <c r="L91" i="62"/>
  <c r="L93" i="63"/>
  <c r="L93" i="62"/>
  <c r="L36" i="63"/>
  <c r="L36" i="62"/>
  <c r="L38" i="63"/>
  <c r="L38" i="62"/>
  <c r="K32" i="63"/>
  <c r="K32" i="62"/>
  <c r="K31" i="63"/>
  <c r="K31" i="62"/>
  <c r="K33" i="63"/>
  <c r="K33" i="62"/>
  <c r="K42" i="63"/>
  <c r="K42" i="62"/>
  <c r="K41" i="63"/>
  <c r="K41" i="62"/>
  <c r="K43" i="63"/>
  <c r="K43" i="62"/>
  <c r="K47" i="63"/>
  <c r="K47" i="62"/>
  <c r="K48" i="63"/>
  <c r="K48" i="62"/>
  <c r="K46" i="63"/>
  <c r="K46" i="62"/>
  <c r="K142" i="63"/>
  <c r="K143" i="63"/>
  <c r="K141" i="63"/>
  <c r="K22" i="63"/>
  <c r="K22" i="62"/>
  <c r="K21" i="63"/>
  <c r="K21" i="62"/>
  <c r="K23" i="63"/>
  <c r="K23" i="62"/>
  <c r="K17" i="63"/>
  <c r="K17" i="62"/>
  <c r="K72" i="63"/>
  <c r="K72" i="62"/>
  <c r="K71" i="63"/>
  <c r="K71" i="62"/>
  <c r="K73" i="63"/>
  <c r="K73" i="62"/>
  <c r="K87" i="63"/>
  <c r="K87" i="62"/>
  <c r="K88" i="63"/>
  <c r="K88" i="62"/>
  <c r="K86" i="63"/>
  <c r="K86" i="62"/>
  <c r="K27" i="63"/>
  <c r="K27" i="62"/>
  <c r="K28" i="63"/>
  <c r="K28" i="62"/>
  <c r="K26" i="63"/>
  <c r="K26" i="62"/>
  <c r="K52" i="63"/>
  <c r="K52" i="62"/>
  <c r="K51" i="63"/>
  <c r="K51" i="62"/>
  <c r="K53" i="63"/>
  <c r="K53" i="62"/>
  <c r="K37" i="63"/>
  <c r="K37" i="62"/>
  <c r="K36" i="63"/>
  <c r="K36" i="62"/>
  <c r="K38" i="63"/>
  <c r="K38" i="62"/>
  <c r="K57" i="63"/>
  <c r="K57" i="62"/>
  <c r="K56" i="63"/>
  <c r="K56" i="62"/>
  <c r="K58" i="63"/>
  <c r="K58" i="62"/>
  <c r="K112" i="63"/>
  <c r="K112" i="62"/>
  <c r="K107" i="63"/>
  <c r="K107" i="62"/>
  <c r="K92" i="63"/>
  <c r="K92" i="62"/>
  <c r="K97" i="63"/>
  <c r="K97" i="62"/>
  <c r="K147" i="63"/>
  <c r="K142" i="62"/>
  <c r="K148" i="63"/>
  <c r="K143" i="62"/>
  <c r="K146" i="63"/>
  <c r="K141" i="62"/>
  <c r="K111" i="63"/>
  <c r="K111" i="62"/>
  <c r="K113" i="63"/>
  <c r="K113" i="62"/>
  <c r="K93" i="63"/>
  <c r="K93" i="62"/>
  <c r="K91" i="63"/>
  <c r="K91" i="62"/>
  <c r="K98" i="63"/>
  <c r="K98" i="62"/>
  <c r="K96" i="63"/>
  <c r="K96" i="62"/>
  <c r="K108" i="63"/>
  <c r="K108" i="62"/>
  <c r="K106" i="63"/>
  <c r="K106" i="62"/>
  <c r="O143" i="63"/>
  <c r="O141" i="63"/>
  <c r="O18" i="63"/>
  <c r="O16" i="63"/>
  <c r="O16" i="62"/>
  <c r="P31" i="63"/>
  <c r="Q31" i="63" s="1"/>
  <c r="J43" i="63"/>
  <c r="J43" i="62"/>
  <c r="J41" i="63"/>
  <c r="J41" i="62"/>
  <c r="J46" i="63"/>
  <c r="J46" i="62"/>
  <c r="J48" i="63"/>
  <c r="J48" i="62"/>
  <c r="J143" i="63"/>
  <c r="J141" i="63"/>
  <c r="J21" i="63"/>
  <c r="J21" i="62"/>
  <c r="J23" i="63"/>
  <c r="J23" i="62"/>
  <c r="J16" i="63"/>
  <c r="J16" i="62"/>
  <c r="J18" i="63"/>
  <c r="J18" i="62"/>
  <c r="J86" i="63"/>
  <c r="J86" i="62"/>
  <c r="J88" i="63"/>
  <c r="J88" i="62"/>
  <c r="J26" i="63"/>
  <c r="J26" i="62"/>
  <c r="J28" i="63"/>
  <c r="J28" i="62"/>
  <c r="J53" i="63"/>
  <c r="J53" i="62"/>
  <c r="J51" i="63"/>
  <c r="J51" i="62"/>
  <c r="J36" i="63"/>
  <c r="J36" i="62"/>
  <c r="J38" i="63"/>
  <c r="J38" i="62"/>
  <c r="J113" i="63"/>
  <c r="J113" i="62"/>
  <c r="J111" i="63"/>
  <c r="J111" i="62"/>
  <c r="J93" i="63"/>
  <c r="J93" i="62"/>
  <c r="J91" i="63"/>
  <c r="J91" i="62"/>
  <c r="J98" i="63"/>
  <c r="J98" i="62"/>
  <c r="J96" i="63"/>
  <c r="J96" i="62"/>
  <c r="J106" i="63"/>
  <c r="J106" i="62"/>
  <c r="J108" i="63"/>
  <c r="J108" i="62"/>
  <c r="H28" i="62"/>
  <c r="H123" i="62"/>
  <c r="H78" i="62"/>
  <c r="H53" i="62"/>
  <c r="H143" i="62"/>
  <c r="H98" i="62"/>
  <c r="H118" i="62"/>
  <c r="H26" i="62"/>
  <c r="H56" i="62"/>
  <c r="H121" i="62"/>
  <c r="H66" i="62"/>
  <c r="H76" i="62"/>
  <c r="H51" i="62"/>
  <c r="H106" i="62"/>
  <c r="H136" i="62"/>
  <c r="H141" i="62"/>
  <c r="H96" i="62"/>
  <c r="H126" i="62"/>
  <c r="H81" i="62"/>
  <c r="H91" i="62"/>
  <c r="H116" i="62"/>
  <c r="H71" i="62"/>
  <c r="H101" i="62"/>
  <c r="H61" i="62"/>
  <c r="H16" i="62"/>
  <c r="H36" i="62"/>
  <c r="H131" i="62"/>
  <c r="H46" i="62"/>
  <c r="H86" i="62"/>
  <c r="H58" i="62"/>
  <c r="H68" i="62"/>
  <c r="H108" i="62"/>
  <c r="H138" i="62"/>
  <c r="H128" i="62"/>
  <c r="H83" i="62"/>
  <c r="H93" i="62"/>
  <c r="H73" i="62"/>
  <c r="H103" i="62"/>
  <c r="H63" i="62"/>
  <c r="H18" i="62"/>
  <c r="H38" i="62"/>
  <c r="H133" i="62"/>
  <c r="H48" i="62"/>
  <c r="H88" i="62"/>
  <c r="O123" i="62"/>
  <c r="O68" i="62"/>
  <c r="O138" i="62"/>
  <c r="O78" i="62"/>
  <c r="O58" i="62"/>
  <c r="O28" i="62"/>
  <c r="O118" i="62"/>
  <c r="O18" i="62"/>
  <c r="O73" i="62"/>
  <c r="O93" i="62"/>
  <c r="O103" i="62"/>
  <c r="O23" i="62"/>
  <c r="P21" i="62" s="1"/>
  <c r="Q21" i="62" s="1"/>
  <c r="O43" i="62"/>
  <c r="O38" i="62"/>
  <c r="O108" i="62"/>
  <c r="O98" i="62"/>
  <c r="O83" i="62"/>
  <c r="O63" i="62"/>
  <c r="O133" i="62"/>
  <c r="O128" i="62"/>
  <c r="O53" i="62"/>
  <c r="O48" i="62"/>
  <c r="O88" i="62"/>
  <c r="O143" i="62"/>
  <c r="P141" i="62" s="1"/>
  <c r="Q141" i="62" s="1"/>
  <c r="O148" i="62"/>
  <c r="P146" i="62" s="1"/>
  <c r="Q146" i="62" s="1"/>
  <c r="K18" i="62"/>
  <c r="K16" i="62"/>
  <c r="J78" i="62"/>
  <c r="J76" i="62"/>
  <c r="J73" i="62"/>
  <c r="J71" i="62"/>
  <c r="J58" i="62"/>
  <c r="J56" i="62"/>
  <c r="J103" i="62"/>
  <c r="P101" i="62" s="1"/>
  <c r="Q101" i="62" s="1"/>
  <c r="J101" i="62"/>
  <c r="J68" i="62"/>
  <c r="J66" i="62"/>
  <c r="J33" i="62"/>
  <c r="J31" i="62"/>
  <c r="A69" i="51"/>
  <c r="G112" i="112"/>
  <c r="A68" i="51"/>
  <c r="A67" i="51"/>
  <c r="A66" i="51"/>
  <c r="A65" i="51"/>
  <c r="A64" i="51"/>
  <c r="A61" i="51"/>
  <c r="A60" i="51"/>
  <c r="A57" i="51"/>
  <c r="A56" i="51"/>
  <c r="A62" i="51"/>
  <c r="A63" i="51"/>
  <c r="A58" i="51"/>
  <c r="A59" i="51"/>
  <c r="J48" i="50"/>
  <c r="K20" i="50"/>
  <c r="J17" i="50"/>
  <c r="J19" i="50"/>
  <c r="J49" i="50"/>
  <c r="G128" i="112"/>
  <c r="G18" i="114"/>
  <c r="K18" i="50"/>
  <c r="N48" i="114" s="1"/>
  <c r="J44" i="50"/>
  <c r="J24" i="50"/>
  <c r="J25" i="50"/>
  <c r="J47" i="50"/>
  <c r="N61" i="106" s="1"/>
  <c r="J43" i="50"/>
  <c r="J23" i="50"/>
  <c r="N31" i="112" s="1"/>
  <c r="J21" i="50"/>
  <c r="N16" i="112" s="1"/>
  <c r="AD49" i="114" l="1"/>
  <c r="M50" i="114"/>
  <c r="N96" i="114"/>
  <c r="N96" i="112"/>
  <c r="N108" i="112"/>
  <c r="P106" i="112" s="1"/>
  <c r="AH106" i="112" s="1"/>
  <c r="N71" i="113"/>
  <c r="N108" i="114"/>
  <c r="N51" i="112"/>
  <c r="N36" i="114"/>
  <c r="N14" i="113"/>
  <c r="AC29" i="114"/>
  <c r="M29" i="114"/>
  <c r="L30" i="114"/>
  <c r="N23" i="82"/>
  <c r="N33" i="114"/>
  <c r="AC109" i="114"/>
  <c r="M109" i="114"/>
  <c r="AD109" i="114" s="1"/>
  <c r="N83" i="112"/>
  <c r="N88" i="114"/>
  <c r="N56" i="113"/>
  <c r="AC72" i="113"/>
  <c r="M72" i="113"/>
  <c r="L73" i="113"/>
  <c r="AC114" i="114"/>
  <c r="L115" i="114"/>
  <c r="AC99" i="112"/>
  <c r="M99" i="112"/>
  <c r="AD99" i="112" s="1"/>
  <c r="N26" i="112"/>
  <c r="N26" i="114"/>
  <c r="N101" i="112"/>
  <c r="N101" i="114"/>
  <c r="N64" i="113"/>
  <c r="N21" i="112"/>
  <c r="N21" i="114"/>
  <c r="AC99" i="114"/>
  <c r="M99" i="114"/>
  <c r="AD99" i="114" s="1"/>
  <c r="K64" i="112"/>
  <c r="AB64" i="112" s="1"/>
  <c r="N94" i="112"/>
  <c r="F94" i="112"/>
  <c r="F89" i="112"/>
  <c r="W89" i="112" s="1"/>
  <c r="O94" i="112"/>
  <c r="AF94" i="112" s="1"/>
  <c r="J44" i="112"/>
  <c r="AA44" i="112" s="1"/>
  <c r="F44" i="112"/>
  <c r="P41" i="112"/>
  <c r="Q41" i="112" s="1"/>
  <c r="AI41" i="112" s="1"/>
  <c r="P91" i="112"/>
  <c r="AH91" i="112" s="1"/>
  <c r="K94" i="112"/>
  <c r="AB94" i="112" s="1"/>
  <c r="W27" i="113"/>
  <c r="W54" i="114"/>
  <c r="U64" i="63"/>
  <c r="F65" i="63"/>
  <c r="W32" i="113"/>
  <c r="W17" i="113"/>
  <c r="F33" i="113" s="1"/>
  <c r="G17" i="113"/>
  <c r="H17" i="113" s="1"/>
  <c r="W64" i="114"/>
  <c r="W24" i="114"/>
  <c r="F65" i="114" s="1"/>
  <c r="W39" i="114"/>
  <c r="G39" i="114"/>
  <c r="X39" i="114" s="1"/>
  <c r="U74" i="63"/>
  <c r="F75" i="63"/>
  <c r="J39" i="112"/>
  <c r="P36" i="112"/>
  <c r="Q36" i="112" s="1"/>
  <c r="AI36" i="112" s="1"/>
  <c r="G63" i="63"/>
  <c r="G64" i="63" s="1"/>
  <c r="G63" i="62"/>
  <c r="P61" i="62" s="1"/>
  <c r="Q61" i="62" s="1"/>
  <c r="G83" i="114"/>
  <c r="G84" i="114" s="1"/>
  <c r="X84" i="114" s="1"/>
  <c r="G78" i="112"/>
  <c r="G79" i="112" s="1"/>
  <c r="G51" i="113"/>
  <c r="G52" i="113" s="1"/>
  <c r="H52" i="113" s="1"/>
  <c r="G73" i="63"/>
  <c r="G73" i="62"/>
  <c r="P71" i="62" s="1"/>
  <c r="Q71" i="62" s="1"/>
  <c r="P61" i="63"/>
  <c r="Q61" i="63" s="1"/>
  <c r="O89" i="114"/>
  <c r="AF89" i="114" s="1"/>
  <c r="N89" i="114"/>
  <c r="AE89" i="114" s="1"/>
  <c r="J89" i="114"/>
  <c r="AA89" i="114" s="1"/>
  <c r="K89" i="114"/>
  <c r="P86" i="114"/>
  <c r="H89" i="114"/>
  <c r="P81" i="114"/>
  <c r="K84" i="114"/>
  <c r="N84" i="114"/>
  <c r="AE84" i="114" s="1"/>
  <c r="O84" i="114"/>
  <c r="AF84" i="114" s="1"/>
  <c r="J17" i="113"/>
  <c r="K17" i="113"/>
  <c r="N17" i="113"/>
  <c r="P14" i="113"/>
  <c r="O17" i="113"/>
  <c r="O52" i="113"/>
  <c r="K52" i="113"/>
  <c r="J52" i="113"/>
  <c r="K39" i="114"/>
  <c r="O39" i="114"/>
  <c r="AF39" i="114" s="1"/>
  <c r="N39" i="114"/>
  <c r="AE39" i="114" s="1"/>
  <c r="P36" i="114"/>
  <c r="J39" i="114"/>
  <c r="AA39" i="114" s="1"/>
  <c r="N57" i="113"/>
  <c r="AE57" i="113" s="1"/>
  <c r="P54" i="113"/>
  <c r="O57" i="113"/>
  <c r="AF57" i="113" s="1"/>
  <c r="K57" i="113"/>
  <c r="J57" i="113"/>
  <c r="AA57" i="113" s="1"/>
  <c r="H57" i="113"/>
  <c r="G97" i="112"/>
  <c r="G62" i="114"/>
  <c r="G30" i="113"/>
  <c r="G62" i="112"/>
  <c r="P61" i="114"/>
  <c r="K64" i="114"/>
  <c r="J64" i="114"/>
  <c r="N64" i="114"/>
  <c r="O64" i="114"/>
  <c r="G64" i="114"/>
  <c r="P29" i="113"/>
  <c r="K32" i="113"/>
  <c r="N32" i="113"/>
  <c r="J32" i="113"/>
  <c r="O32" i="113"/>
  <c r="G32" i="113"/>
  <c r="O19" i="114"/>
  <c r="N19" i="114"/>
  <c r="K19" i="114"/>
  <c r="J19" i="114"/>
  <c r="P16" i="114"/>
  <c r="G19" i="114"/>
  <c r="G54" i="114"/>
  <c r="H54" i="114" s="1"/>
  <c r="O54" i="114"/>
  <c r="P51" i="114"/>
  <c r="N54" i="114"/>
  <c r="J54" i="114"/>
  <c r="K54" i="114"/>
  <c r="G27" i="113"/>
  <c r="H27" i="113" s="1"/>
  <c r="O27" i="113"/>
  <c r="K27" i="113"/>
  <c r="P24" i="113"/>
  <c r="N27" i="113"/>
  <c r="J27" i="113"/>
  <c r="I109" i="114"/>
  <c r="Y109" i="114"/>
  <c r="H110" i="114"/>
  <c r="Y72" i="113"/>
  <c r="I72" i="113"/>
  <c r="H73" i="113"/>
  <c r="N34" i="114"/>
  <c r="O34" i="114"/>
  <c r="P31" i="114"/>
  <c r="J34" i="114"/>
  <c r="K34" i="114"/>
  <c r="H34" i="114"/>
  <c r="P31" i="62"/>
  <c r="Q31" i="62" s="1"/>
  <c r="G25" i="113"/>
  <c r="G52" i="114"/>
  <c r="G37" i="112"/>
  <c r="K34" i="63"/>
  <c r="L34" i="63" s="1"/>
  <c r="N34" i="63"/>
  <c r="AC34" i="63" s="1"/>
  <c r="O34" i="63"/>
  <c r="AD34" i="63" s="1"/>
  <c r="J34" i="63"/>
  <c r="Y34" i="63" s="1"/>
  <c r="G83" i="112"/>
  <c r="K84" i="112" s="1"/>
  <c r="G41" i="113"/>
  <c r="G73" i="114"/>
  <c r="G73" i="112"/>
  <c r="G18" i="112"/>
  <c r="G19" i="112" s="1"/>
  <c r="G53" i="63"/>
  <c r="G54" i="63" s="1"/>
  <c r="G53" i="62"/>
  <c r="P51" i="62" s="1"/>
  <c r="Q51" i="62" s="1"/>
  <c r="G53" i="112"/>
  <c r="P51" i="112" s="1"/>
  <c r="G23" i="114"/>
  <c r="G23" i="112"/>
  <c r="P21" i="112" s="1"/>
  <c r="Q21" i="112" s="1"/>
  <c r="AI21" i="112" s="1"/>
  <c r="G33" i="112"/>
  <c r="G78" i="63"/>
  <c r="J79" i="63" s="1"/>
  <c r="Y79" i="63" s="1"/>
  <c r="G78" i="62"/>
  <c r="P76" i="62" s="1"/>
  <c r="Q76" i="62" s="1"/>
  <c r="W19" i="105"/>
  <c r="U54" i="63"/>
  <c r="F55" i="63"/>
  <c r="F79" i="63"/>
  <c r="G34" i="63"/>
  <c r="U34" i="63"/>
  <c r="F35" i="63"/>
  <c r="N89" i="112"/>
  <c r="AE89" i="112" s="1"/>
  <c r="AE99" i="112"/>
  <c r="Q96" i="112"/>
  <c r="AI96" i="112" s="1"/>
  <c r="AF99" i="112"/>
  <c r="O69" i="112"/>
  <c r="AF69" i="112" s="1"/>
  <c r="O89" i="112"/>
  <c r="AF89" i="112" s="1"/>
  <c r="O109" i="112"/>
  <c r="AF109" i="112" s="1"/>
  <c r="N109" i="112"/>
  <c r="AE109" i="112" s="1"/>
  <c r="N39" i="112"/>
  <c r="AE39" i="112" s="1"/>
  <c r="O39" i="112"/>
  <c r="AF39" i="112" s="1"/>
  <c r="K39" i="112"/>
  <c r="AB39" i="112" s="1"/>
  <c r="P86" i="112"/>
  <c r="AH86" i="112" s="1"/>
  <c r="K49" i="112"/>
  <c r="N33" i="112"/>
  <c r="AA94" i="112"/>
  <c r="AA49" i="112"/>
  <c r="AA39" i="112"/>
  <c r="N59" i="63"/>
  <c r="AC59" i="63" s="1"/>
  <c r="N83" i="106"/>
  <c r="N108" i="63"/>
  <c r="O109" i="63" s="1"/>
  <c r="N131" i="63"/>
  <c r="N18" i="106"/>
  <c r="N108" i="62"/>
  <c r="P106" i="62" s="1"/>
  <c r="Q106" i="62" s="1"/>
  <c r="N131" i="62"/>
  <c r="N23" i="106"/>
  <c r="O24" i="106" s="1"/>
  <c r="N23" i="105"/>
  <c r="N48" i="112"/>
  <c r="P46" i="112" s="1"/>
  <c r="N118" i="63"/>
  <c r="P116" i="63" s="1"/>
  <c r="Q116" i="63" s="1"/>
  <c r="N118" i="62"/>
  <c r="P116" i="62" s="1"/>
  <c r="Q116" i="62" s="1"/>
  <c r="N133" i="82"/>
  <c r="J114" i="112"/>
  <c r="K114" i="112"/>
  <c r="AI111" i="112"/>
  <c r="AI131" i="112"/>
  <c r="AH131" i="112"/>
  <c r="Y134" i="112"/>
  <c r="Z134" i="112"/>
  <c r="AE134" i="112"/>
  <c r="Q106" i="112"/>
  <c r="AI106" i="112" s="1"/>
  <c r="L109" i="112"/>
  <c r="AB109" i="112"/>
  <c r="AB134" i="112"/>
  <c r="Y109" i="112"/>
  <c r="I109" i="112"/>
  <c r="Z109" i="112" s="1"/>
  <c r="AF134" i="112"/>
  <c r="K59" i="63"/>
  <c r="Z59" i="63" s="1"/>
  <c r="AB69" i="112"/>
  <c r="L69" i="112"/>
  <c r="L89" i="112"/>
  <c r="AB89" i="112"/>
  <c r="AA59" i="112"/>
  <c r="Q56" i="112"/>
  <c r="AI56" i="112" s="1"/>
  <c r="AE119" i="112"/>
  <c r="AF119" i="112"/>
  <c r="W79" i="112"/>
  <c r="G104" i="112"/>
  <c r="W104" i="112"/>
  <c r="Q101" i="112"/>
  <c r="AI101" i="112" s="1"/>
  <c r="AF64" i="112"/>
  <c r="AE64" i="112"/>
  <c r="AF124" i="112"/>
  <c r="AE94" i="112"/>
  <c r="W69" i="112"/>
  <c r="G69" i="112"/>
  <c r="AE69" i="112"/>
  <c r="W59" i="112"/>
  <c r="G59" i="112"/>
  <c r="L59" i="112"/>
  <c r="AB59" i="112"/>
  <c r="G44" i="112"/>
  <c r="W44" i="112"/>
  <c r="G119" i="112"/>
  <c r="W119" i="112"/>
  <c r="AI116" i="112"/>
  <c r="AB104" i="112"/>
  <c r="L104" i="112"/>
  <c r="AE104" i="112"/>
  <c r="Q61" i="112"/>
  <c r="AI61" i="112" s="1"/>
  <c r="AH61" i="112"/>
  <c r="AE124" i="112"/>
  <c r="AA124" i="112"/>
  <c r="G39" i="112"/>
  <c r="W39" i="112"/>
  <c r="W94" i="112"/>
  <c r="G94" i="112"/>
  <c r="AA89" i="112"/>
  <c r="AF59" i="112"/>
  <c r="AE44" i="112"/>
  <c r="AB119" i="112"/>
  <c r="AF104" i="112"/>
  <c r="W74" i="112"/>
  <c r="G74" i="112"/>
  <c r="AA64" i="112"/>
  <c r="AB124" i="112"/>
  <c r="Q66" i="112"/>
  <c r="AI66" i="112" s="1"/>
  <c r="AH66" i="112"/>
  <c r="AI121" i="112"/>
  <c r="AH121" i="112"/>
  <c r="AA69" i="112"/>
  <c r="AE59" i="112"/>
  <c r="AF44" i="112"/>
  <c r="AB44" i="112"/>
  <c r="L44" i="112"/>
  <c r="AA119" i="112"/>
  <c r="AA104" i="112"/>
  <c r="G64" i="112"/>
  <c r="W64" i="112"/>
  <c r="W124" i="112"/>
  <c r="G124" i="112"/>
  <c r="J59" i="63"/>
  <c r="Y59" i="63" s="1"/>
  <c r="P26" i="112"/>
  <c r="O29" i="112"/>
  <c r="J29" i="112"/>
  <c r="N29" i="112"/>
  <c r="K29" i="112"/>
  <c r="G29" i="112"/>
  <c r="J54" i="112"/>
  <c r="J34" i="112"/>
  <c r="K34" i="112"/>
  <c r="G34" i="112"/>
  <c r="AF114" i="112"/>
  <c r="H99" i="112"/>
  <c r="Y99" i="112" s="1"/>
  <c r="G129" i="112"/>
  <c r="O19" i="112"/>
  <c r="P16" i="112"/>
  <c r="K19" i="112"/>
  <c r="J19" i="112"/>
  <c r="N19" i="112"/>
  <c r="H114" i="112"/>
  <c r="X114" i="112"/>
  <c r="U94" i="63"/>
  <c r="F95" i="63"/>
  <c r="F124" i="63"/>
  <c r="J124" i="63"/>
  <c r="Y124" i="63" s="1"/>
  <c r="K124" i="63"/>
  <c r="Z124" i="63" s="1"/>
  <c r="P56" i="62"/>
  <c r="Q56" i="62" s="1"/>
  <c r="G57" i="63"/>
  <c r="G57" i="62"/>
  <c r="H19" i="105"/>
  <c r="I19" i="105" s="1"/>
  <c r="Z19" i="105" s="1"/>
  <c r="G59" i="63"/>
  <c r="U59" i="63"/>
  <c r="F60" i="63"/>
  <c r="F119" i="63"/>
  <c r="O139" i="82"/>
  <c r="AF139" i="82" s="1"/>
  <c r="K104" i="82"/>
  <c r="L104" i="82" s="1"/>
  <c r="J149" i="82"/>
  <c r="AA149" i="82" s="1"/>
  <c r="J139" i="82"/>
  <c r="AA139" i="82" s="1"/>
  <c r="K84" i="82"/>
  <c r="L84" i="82" s="1"/>
  <c r="P136" i="82"/>
  <c r="Q136" i="82" s="1"/>
  <c r="AI136" i="82" s="1"/>
  <c r="P81" i="82"/>
  <c r="Q81" i="82" s="1"/>
  <c r="N149" i="82"/>
  <c r="AE149" i="82" s="1"/>
  <c r="G72" i="105"/>
  <c r="G38" i="105"/>
  <c r="N39" i="105" s="1"/>
  <c r="G52" i="105"/>
  <c r="W49" i="106"/>
  <c r="F84" i="106"/>
  <c r="F74" i="105"/>
  <c r="J74" i="105"/>
  <c r="AA74" i="105" s="1"/>
  <c r="K74" i="105"/>
  <c r="AB74" i="105" s="1"/>
  <c r="F79" i="106"/>
  <c r="J79" i="106"/>
  <c r="AA79" i="106" s="1"/>
  <c r="N79" i="106"/>
  <c r="AE79" i="106" s="1"/>
  <c r="K79" i="106"/>
  <c r="O79" i="106"/>
  <c r="AF79" i="106" s="1"/>
  <c r="P76" i="106"/>
  <c r="Q76" i="106" s="1"/>
  <c r="AI76" i="106" s="1"/>
  <c r="W69" i="105"/>
  <c r="W34" i="105"/>
  <c r="G34" i="105"/>
  <c r="G63" i="105"/>
  <c r="K64" i="105" s="1"/>
  <c r="AB64" i="105" s="1"/>
  <c r="G68" i="105"/>
  <c r="G69" i="105" s="1"/>
  <c r="G73" i="106"/>
  <c r="N74" i="106" s="1"/>
  <c r="G77" i="106"/>
  <c r="G18" i="106"/>
  <c r="G19" i="106" s="1"/>
  <c r="J84" i="82"/>
  <c r="F149" i="82"/>
  <c r="W149" i="82" s="1"/>
  <c r="F79" i="105"/>
  <c r="X44" i="106"/>
  <c r="H44" i="106"/>
  <c r="W64" i="105"/>
  <c r="W59" i="105"/>
  <c r="F69" i="106"/>
  <c r="G78" i="105"/>
  <c r="J79" i="105" s="1"/>
  <c r="AA79" i="105" s="1"/>
  <c r="G38" i="106"/>
  <c r="K39" i="106" s="1"/>
  <c r="AB39" i="106" s="1"/>
  <c r="G58" i="105"/>
  <c r="G59" i="105" s="1"/>
  <c r="G48" i="106"/>
  <c r="G49" i="106" s="1"/>
  <c r="G23" i="105"/>
  <c r="G24" i="105" s="1"/>
  <c r="G83" i="106"/>
  <c r="K84" i="106" s="1"/>
  <c r="G43" i="105"/>
  <c r="F64" i="106"/>
  <c r="J64" i="106"/>
  <c r="AA64" i="106" s="1"/>
  <c r="K64" i="106"/>
  <c r="AB64" i="106" s="1"/>
  <c r="W39" i="105"/>
  <c r="F49" i="105"/>
  <c r="W54" i="105"/>
  <c r="G54" i="105"/>
  <c r="F74" i="106"/>
  <c r="G34" i="106"/>
  <c r="W34" i="106"/>
  <c r="G48" i="105"/>
  <c r="K49" i="105" s="1"/>
  <c r="G58" i="106"/>
  <c r="G59" i="106" s="1"/>
  <c r="G27" i="106"/>
  <c r="G68" i="106"/>
  <c r="K69" i="106" s="1"/>
  <c r="G42" i="106"/>
  <c r="G22" i="106"/>
  <c r="G62" i="106"/>
  <c r="W29" i="106"/>
  <c r="G29" i="106"/>
  <c r="W29" i="105"/>
  <c r="G29" i="105"/>
  <c r="W24" i="106"/>
  <c r="G24" i="106"/>
  <c r="W39" i="106"/>
  <c r="W44" i="105"/>
  <c r="N84" i="82"/>
  <c r="O84" i="82"/>
  <c r="O104" i="82"/>
  <c r="O149" i="82"/>
  <c r="AF149" i="82" s="1"/>
  <c r="N51" i="105"/>
  <c r="N101" i="82"/>
  <c r="N26" i="105"/>
  <c r="N146" i="82"/>
  <c r="N68" i="63"/>
  <c r="N51" i="82"/>
  <c r="P51" i="106"/>
  <c r="Q51" i="106" s="1"/>
  <c r="AI51" i="106" s="1"/>
  <c r="N143" i="82"/>
  <c r="P141" i="82" s="1"/>
  <c r="Q141" i="82" s="1"/>
  <c r="AI141" i="82" s="1"/>
  <c r="N88" i="82"/>
  <c r="N68" i="62"/>
  <c r="N63" i="82"/>
  <c r="N58" i="82"/>
  <c r="P146" i="82"/>
  <c r="Q146" i="82" s="1"/>
  <c r="AI146" i="82" s="1"/>
  <c r="N104" i="82"/>
  <c r="J29" i="105"/>
  <c r="AA29" i="105" s="1"/>
  <c r="K29" i="105"/>
  <c r="N29" i="105"/>
  <c r="AE29" i="105" s="1"/>
  <c r="P26" i="105"/>
  <c r="Q26" i="105" s="1"/>
  <c r="AI26" i="105" s="1"/>
  <c r="O29" i="105"/>
  <c r="AF29" i="105" s="1"/>
  <c r="J19" i="105"/>
  <c r="AA19" i="105" s="1"/>
  <c r="K19" i="105"/>
  <c r="AB19" i="105" s="1"/>
  <c r="K44" i="106"/>
  <c r="AB44" i="106" s="1"/>
  <c r="J44" i="106"/>
  <c r="AA44" i="106" s="1"/>
  <c r="J29" i="106"/>
  <c r="AA29" i="106" s="1"/>
  <c r="K29" i="106"/>
  <c r="AB29" i="106" s="1"/>
  <c r="J144" i="82"/>
  <c r="AA144" i="82" s="1"/>
  <c r="K144" i="82"/>
  <c r="K54" i="106"/>
  <c r="J54" i="106"/>
  <c r="AA54" i="106" s="1"/>
  <c r="K24" i="106"/>
  <c r="AB24" i="106" s="1"/>
  <c r="J24" i="106"/>
  <c r="AA24" i="106" s="1"/>
  <c r="J54" i="105"/>
  <c r="AA54" i="105" s="1"/>
  <c r="K54" i="105"/>
  <c r="AB54" i="105" s="1"/>
  <c r="J34" i="105"/>
  <c r="AA34" i="105" s="1"/>
  <c r="K34" i="105"/>
  <c r="AB34" i="105" s="1"/>
  <c r="K34" i="106"/>
  <c r="AB34" i="106" s="1"/>
  <c r="J34" i="106"/>
  <c r="AA34" i="106" s="1"/>
  <c r="N76" i="105"/>
  <c r="N41" i="82"/>
  <c r="N31" i="105"/>
  <c r="N71" i="106"/>
  <c r="N106" i="62"/>
  <c r="N21" i="106"/>
  <c r="N48" i="82"/>
  <c r="P46" i="82" s="1"/>
  <c r="Q46" i="82" s="1"/>
  <c r="AI46" i="82" s="1"/>
  <c r="N63" i="106"/>
  <c r="O64" i="106" s="1"/>
  <c r="N31" i="106"/>
  <c r="N96" i="82"/>
  <c r="N81" i="106"/>
  <c r="N48" i="105"/>
  <c r="N36" i="106"/>
  <c r="N16" i="106"/>
  <c r="N61" i="82"/>
  <c r="N91" i="82"/>
  <c r="N66" i="106"/>
  <c r="N16" i="105"/>
  <c r="N21" i="105"/>
  <c r="N131" i="82"/>
  <c r="N66" i="82"/>
  <c r="N36" i="105"/>
  <c r="N56" i="82"/>
  <c r="N66" i="105"/>
  <c r="N126" i="82"/>
  <c r="N43" i="105"/>
  <c r="N73" i="82"/>
  <c r="N36" i="82"/>
  <c r="N53" i="82"/>
  <c r="P51" i="82" s="1"/>
  <c r="Q51" i="82" s="1"/>
  <c r="AI51" i="82" s="1"/>
  <c r="N26" i="106"/>
  <c r="N81" i="82"/>
  <c r="AF49" i="106"/>
  <c r="AE49" i="106"/>
  <c r="N64" i="106"/>
  <c r="P31" i="105"/>
  <c r="O34" i="105"/>
  <c r="N34" i="105"/>
  <c r="P26" i="106"/>
  <c r="O29" i="106"/>
  <c r="N29" i="106"/>
  <c r="O34" i="106"/>
  <c r="N34" i="106"/>
  <c r="P31" i="106"/>
  <c r="P71" i="105"/>
  <c r="N74" i="105"/>
  <c r="O74" i="105"/>
  <c r="P36" i="105"/>
  <c r="N54" i="105"/>
  <c r="P51" i="105"/>
  <c r="O54" i="105"/>
  <c r="P16" i="105"/>
  <c r="N19" i="105"/>
  <c r="O19" i="105"/>
  <c r="G109" i="63"/>
  <c r="V109" i="63" s="1"/>
  <c r="J104" i="82"/>
  <c r="P101" i="82"/>
  <c r="Q101" i="82" s="1"/>
  <c r="AI101" i="82" s="1"/>
  <c r="N139" i="82"/>
  <c r="AE139" i="82" s="1"/>
  <c r="K139" i="82"/>
  <c r="L139" i="82" s="1"/>
  <c r="G28" i="82"/>
  <c r="K29" i="82" s="1"/>
  <c r="G38" i="82"/>
  <c r="G39" i="82" s="1"/>
  <c r="G133" i="82"/>
  <c r="G117" i="82"/>
  <c r="G78" i="82"/>
  <c r="J79" i="82" s="1"/>
  <c r="G58" i="82"/>
  <c r="G59" i="82" s="1"/>
  <c r="G17" i="82"/>
  <c r="G137" i="82"/>
  <c r="G128" i="82"/>
  <c r="P126" i="82" s="1"/>
  <c r="Q126" i="82" s="1"/>
  <c r="G82" i="82"/>
  <c r="G52" i="82"/>
  <c r="G73" i="82"/>
  <c r="G102" i="82"/>
  <c r="G63" i="82"/>
  <c r="G142" i="63"/>
  <c r="K54" i="82"/>
  <c r="L54" i="82" s="1"/>
  <c r="M54" i="82" s="1"/>
  <c r="J54" i="82"/>
  <c r="AA54" i="82" s="1"/>
  <c r="G54" i="82"/>
  <c r="H54" i="82" s="1"/>
  <c r="I54" i="82" s="1"/>
  <c r="G104" i="82"/>
  <c r="G84" i="82"/>
  <c r="L149" i="82"/>
  <c r="F129" i="82"/>
  <c r="W129" i="82" s="1"/>
  <c r="U84" i="63"/>
  <c r="F85" i="63"/>
  <c r="U69" i="63"/>
  <c r="F70" i="63"/>
  <c r="U109" i="63"/>
  <c r="F110" i="63"/>
  <c r="G144" i="63"/>
  <c r="V144" i="63" s="1"/>
  <c r="F74" i="82"/>
  <c r="W74" i="82" s="1"/>
  <c r="U44" i="63"/>
  <c r="F45" i="63"/>
  <c r="F145" i="63"/>
  <c r="W139" i="82"/>
  <c r="G139" i="82"/>
  <c r="AB149" i="82"/>
  <c r="N66" i="63"/>
  <c r="N66" i="62"/>
  <c r="N93" i="62"/>
  <c r="N143" i="63"/>
  <c r="P141" i="63" s="1"/>
  <c r="Q141" i="63" s="1"/>
  <c r="N106" i="63"/>
  <c r="N81" i="63"/>
  <c r="N81" i="62"/>
  <c r="N21" i="82"/>
  <c r="N43" i="62"/>
  <c r="N43" i="63"/>
  <c r="N93" i="63"/>
  <c r="G43" i="63"/>
  <c r="G44" i="63" s="1"/>
  <c r="G43" i="62"/>
  <c r="G44" i="62" s="1"/>
  <c r="G68" i="63"/>
  <c r="G68" i="62"/>
  <c r="G93" i="63"/>
  <c r="G94" i="63" s="1"/>
  <c r="G93" i="62"/>
  <c r="G83" i="63"/>
  <c r="G83" i="62"/>
  <c r="G84" i="62" s="1"/>
  <c r="V84" i="62" s="1"/>
  <c r="G107" i="63"/>
  <c r="G107" i="62"/>
  <c r="G68" i="82"/>
  <c r="J69" i="82" s="1"/>
  <c r="G88" i="82"/>
  <c r="J89" i="82" s="1"/>
  <c r="K49" i="82"/>
  <c r="N26" i="82"/>
  <c r="N98" i="82"/>
  <c r="N16" i="82"/>
  <c r="N46" i="82"/>
  <c r="N121" i="82"/>
  <c r="N31" i="82"/>
  <c r="N76" i="82"/>
  <c r="N113" i="82"/>
  <c r="N106" i="82"/>
  <c r="N86" i="82"/>
  <c r="N116" i="82"/>
  <c r="K34" i="82"/>
  <c r="J34" i="82"/>
  <c r="O34" i="82"/>
  <c r="N34" i="82"/>
  <c r="F34" i="82"/>
  <c r="P31" i="82"/>
  <c r="W39" i="82"/>
  <c r="F69" i="82"/>
  <c r="G118" i="82"/>
  <c r="K119" i="82" s="1"/>
  <c r="G47" i="82"/>
  <c r="G108" i="82"/>
  <c r="N109" i="82" s="1"/>
  <c r="G113" i="82"/>
  <c r="K114" i="82" s="1"/>
  <c r="G87" i="82"/>
  <c r="G43" i="82"/>
  <c r="K44" i="82" s="1"/>
  <c r="G77" i="82"/>
  <c r="G27" i="82"/>
  <c r="G23" i="82"/>
  <c r="N24" i="82" s="1"/>
  <c r="G98" i="82"/>
  <c r="G99" i="82" s="1"/>
  <c r="G123" i="82"/>
  <c r="K124" i="82" s="1"/>
  <c r="G93" i="82"/>
  <c r="G94" i="82" s="1"/>
  <c r="G18" i="82"/>
  <c r="N19" i="82" s="1"/>
  <c r="G32" i="82"/>
  <c r="W59" i="82"/>
  <c r="F89" i="82"/>
  <c r="F79" i="82"/>
  <c r="J49" i="82"/>
  <c r="N68" i="82"/>
  <c r="W64" i="82"/>
  <c r="W84" i="82"/>
  <c r="W119" i="82"/>
  <c r="G49" i="82"/>
  <c r="W49" i="82"/>
  <c r="W44" i="82"/>
  <c r="W109" i="82"/>
  <c r="W104" i="82"/>
  <c r="W114" i="82"/>
  <c r="W19" i="82"/>
  <c r="W124" i="82"/>
  <c r="W24" i="82"/>
  <c r="W94" i="82"/>
  <c r="W134" i="82"/>
  <c r="W29" i="82"/>
  <c r="W99" i="82"/>
  <c r="N113" i="62"/>
  <c r="U134" i="63"/>
  <c r="F135" i="63"/>
  <c r="U49" i="63"/>
  <c r="F50" i="63"/>
  <c r="U114" i="63"/>
  <c r="F115" i="63"/>
  <c r="U129" i="63"/>
  <c r="F130" i="63"/>
  <c r="N126" i="63"/>
  <c r="N126" i="62"/>
  <c r="N133" i="63"/>
  <c r="N133" i="62"/>
  <c r="G47" i="63"/>
  <c r="G133" i="63"/>
  <c r="G47" i="62"/>
  <c r="G133" i="62"/>
  <c r="G113" i="63"/>
  <c r="G114" i="63" s="1"/>
  <c r="G113" i="62"/>
  <c r="P111" i="62" s="1"/>
  <c r="Q111" i="62" s="1"/>
  <c r="G128" i="63"/>
  <c r="G128" i="62"/>
  <c r="P126" i="62" s="1"/>
  <c r="Q126" i="62" s="1"/>
  <c r="G48" i="63"/>
  <c r="G49" i="63" s="1"/>
  <c r="G48" i="62"/>
  <c r="G49" i="62" s="1"/>
  <c r="V49" i="62" s="1"/>
  <c r="P56" i="63"/>
  <c r="Q56" i="63" s="1"/>
  <c r="P136" i="62"/>
  <c r="Q136" i="62" s="1"/>
  <c r="O59" i="63"/>
  <c r="AD59" i="63" s="1"/>
  <c r="P71" i="63"/>
  <c r="Q71" i="63" s="1"/>
  <c r="O74" i="63"/>
  <c r="AD74" i="63" s="1"/>
  <c r="N46" i="63"/>
  <c r="N46" i="62"/>
  <c r="N96" i="63"/>
  <c r="N96" i="62"/>
  <c r="N36" i="63"/>
  <c r="N36" i="62"/>
  <c r="N141" i="63"/>
  <c r="N56" i="63"/>
  <c r="N56" i="62"/>
  <c r="N91" i="63"/>
  <c r="N91" i="62"/>
  <c r="N26" i="63"/>
  <c r="N26" i="62"/>
  <c r="N76" i="63"/>
  <c r="N76" i="62"/>
  <c r="N139" i="63"/>
  <c r="AC139" i="63" s="1"/>
  <c r="P136" i="63"/>
  <c r="Q136" i="63" s="1"/>
  <c r="O139" i="63"/>
  <c r="AD139" i="63" s="1"/>
  <c r="L139" i="63"/>
  <c r="P126" i="63"/>
  <c r="Q126" i="63" s="1"/>
  <c r="N129" i="63"/>
  <c r="AC129" i="63" s="1"/>
  <c r="O129" i="63"/>
  <c r="AD129" i="63" s="1"/>
  <c r="N74" i="63"/>
  <c r="AC74" i="63" s="1"/>
  <c r="P121" i="62"/>
  <c r="Q121" i="62" s="1"/>
  <c r="N124" i="63"/>
  <c r="AC124" i="63" s="1"/>
  <c r="O124" i="63"/>
  <c r="AD124" i="63" s="1"/>
  <c r="P121" i="63"/>
  <c r="Q121" i="63" s="1"/>
  <c r="N149" i="63"/>
  <c r="AC149" i="63" s="1"/>
  <c r="P146" i="63"/>
  <c r="Q146" i="63" s="1"/>
  <c r="O149" i="63"/>
  <c r="AD149" i="63" s="1"/>
  <c r="K149" i="63"/>
  <c r="P16" i="62"/>
  <c r="Q16" i="62" s="1"/>
  <c r="K144" i="63"/>
  <c r="J144" i="63"/>
  <c r="Y144" i="63" s="1"/>
  <c r="K24" i="63"/>
  <c r="J24" i="63"/>
  <c r="Y24" i="63" s="1"/>
  <c r="P21" i="63"/>
  <c r="Q21" i="63" s="1"/>
  <c r="O24" i="63"/>
  <c r="AD24" i="63" s="1"/>
  <c r="N24" i="63"/>
  <c r="AC24" i="63" s="1"/>
  <c r="P26" i="62"/>
  <c r="Q26" i="62" s="1"/>
  <c r="O19" i="63"/>
  <c r="AD19" i="63" s="1"/>
  <c r="N19" i="63"/>
  <c r="AC19" i="63" s="1"/>
  <c r="P16" i="63"/>
  <c r="Q16" i="63" s="1"/>
  <c r="J19" i="63"/>
  <c r="Y19" i="63" s="1"/>
  <c r="K19" i="63"/>
  <c r="N89" i="63"/>
  <c r="AC89" i="63" s="1"/>
  <c r="P86" i="63"/>
  <c r="Q86" i="63" s="1"/>
  <c r="J89" i="63"/>
  <c r="Y89" i="63" s="1"/>
  <c r="O89" i="63"/>
  <c r="AD89" i="63" s="1"/>
  <c r="K89" i="63"/>
  <c r="P26" i="63"/>
  <c r="Q26" i="63" s="1"/>
  <c r="K29" i="63"/>
  <c r="J29" i="63"/>
  <c r="Y29" i="63" s="1"/>
  <c r="O29" i="63"/>
  <c r="AD29" i="63" s="1"/>
  <c r="N29" i="63"/>
  <c r="AC29" i="63" s="1"/>
  <c r="J54" i="63"/>
  <c r="Y54" i="63" s="1"/>
  <c r="P36" i="62"/>
  <c r="Q36" i="62" s="1"/>
  <c r="P36" i="63"/>
  <c r="Q36" i="63" s="1"/>
  <c r="N39" i="63"/>
  <c r="AC39" i="63" s="1"/>
  <c r="O39" i="63"/>
  <c r="AD39" i="63" s="1"/>
  <c r="K39" i="63"/>
  <c r="J39" i="63"/>
  <c r="Y39" i="63" s="1"/>
  <c r="P96" i="62"/>
  <c r="Q96" i="62" s="1"/>
  <c r="K114" i="63"/>
  <c r="P111" i="63"/>
  <c r="Q111" i="63" s="1"/>
  <c r="N99" i="63"/>
  <c r="AC99" i="63" s="1"/>
  <c r="O99" i="63"/>
  <c r="AD99" i="63" s="1"/>
  <c r="P96" i="63"/>
  <c r="Q96" i="63" s="1"/>
  <c r="J99" i="63"/>
  <c r="Y99" i="63" s="1"/>
  <c r="K99" i="63"/>
  <c r="K109" i="63"/>
  <c r="P106" i="63"/>
  <c r="J109" i="63"/>
  <c r="N89" i="62"/>
  <c r="AC89" i="62" s="1"/>
  <c r="J89" i="62"/>
  <c r="Y89" i="62" s="1"/>
  <c r="K89" i="62"/>
  <c r="H89" i="62"/>
  <c r="P86" i="62"/>
  <c r="Q86" i="62" s="1"/>
  <c r="O89" i="62"/>
  <c r="AD89" i="62" s="1"/>
  <c r="AD154" i="62"/>
  <c r="Y154" i="62"/>
  <c r="AD29" i="114" l="1"/>
  <c r="M30" i="114"/>
  <c r="AD72" i="113"/>
  <c r="M73" i="113"/>
  <c r="J84" i="114"/>
  <c r="AA84" i="114" s="1"/>
  <c r="P49" i="113"/>
  <c r="K64" i="63"/>
  <c r="Z64" i="63" s="1"/>
  <c r="J64" i="63"/>
  <c r="Y64" i="63" s="1"/>
  <c r="N52" i="113"/>
  <c r="N64" i="63"/>
  <c r="AC64" i="63" s="1"/>
  <c r="L64" i="112"/>
  <c r="M64" i="112" s="1"/>
  <c r="O54" i="63"/>
  <c r="AD54" i="63" s="1"/>
  <c r="N54" i="63"/>
  <c r="AC54" i="63" s="1"/>
  <c r="K54" i="63"/>
  <c r="P51" i="63"/>
  <c r="Q51" i="63" s="1"/>
  <c r="N69" i="105"/>
  <c r="G89" i="112"/>
  <c r="X89" i="112" s="1"/>
  <c r="Q91" i="112"/>
  <c r="AI91" i="112" s="1"/>
  <c r="H84" i="114"/>
  <c r="I84" i="114" s="1"/>
  <c r="Z84" i="114" s="1"/>
  <c r="L94" i="112"/>
  <c r="M94" i="112" s="1"/>
  <c r="H39" i="114"/>
  <c r="Y39" i="114" s="1"/>
  <c r="F28" i="113"/>
  <c r="F18" i="113"/>
  <c r="F53" i="113"/>
  <c r="F58" i="113"/>
  <c r="F43" i="113"/>
  <c r="F68" i="113"/>
  <c r="F40" i="114"/>
  <c r="F35" i="114"/>
  <c r="F90" i="114"/>
  <c r="F85" i="114"/>
  <c r="F75" i="114"/>
  <c r="F20" i="114"/>
  <c r="F135" i="114"/>
  <c r="F105" i="114"/>
  <c r="X17" i="113"/>
  <c r="G58" i="113" s="1"/>
  <c r="F25" i="114"/>
  <c r="F55" i="114"/>
  <c r="N79" i="112"/>
  <c r="AE79" i="112" s="1"/>
  <c r="J79" i="112"/>
  <c r="AA79" i="112" s="1"/>
  <c r="O79" i="112"/>
  <c r="AF79" i="112" s="1"/>
  <c r="K79" i="112"/>
  <c r="P76" i="112"/>
  <c r="Q76" i="112" s="1"/>
  <c r="AI76" i="112" s="1"/>
  <c r="V64" i="63"/>
  <c r="G65" i="63"/>
  <c r="H64" i="63"/>
  <c r="X52" i="113"/>
  <c r="G74" i="63"/>
  <c r="J74" i="63"/>
  <c r="Y74" i="63" s="1"/>
  <c r="K74" i="63"/>
  <c r="O64" i="63"/>
  <c r="AD64" i="63" s="1"/>
  <c r="N34" i="112"/>
  <c r="AE34" i="112" s="1"/>
  <c r="O69" i="105"/>
  <c r="Y57" i="113"/>
  <c r="I57" i="113"/>
  <c r="Z57" i="113" s="1"/>
  <c r="Q54" i="113"/>
  <c r="AI54" i="113" s="1"/>
  <c r="AH54" i="113"/>
  <c r="AH36" i="114"/>
  <c r="Q36" i="114"/>
  <c r="AI36" i="114" s="1"/>
  <c r="I52" i="113"/>
  <c r="Y52" i="113"/>
  <c r="L52" i="113"/>
  <c r="AB52" i="113"/>
  <c r="Y17" i="113"/>
  <c r="H58" i="113" s="1"/>
  <c r="I17" i="113"/>
  <c r="L17" i="113"/>
  <c r="AB17" i="113"/>
  <c r="K58" i="113" s="1"/>
  <c r="Q86" i="114"/>
  <c r="AI86" i="114" s="1"/>
  <c r="AH86" i="114"/>
  <c r="AB39" i="114"/>
  <c r="L39" i="114"/>
  <c r="AE52" i="113"/>
  <c r="AE17" i="113"/>
  <c r="N58" i="113" s="1"/>
  <c r="I89" i="114"/>
  <c r="Z89" i="114" s="1"/>
  <c r="Y89" i="114"/>
  <c r="AB57" i="113"/>
  <c r="L57" i="113"/>
  <c r="AH49" i="113"/>
  <c r="Q49" i="113"/>
  <c r="AI49" i="113" s="1"/>
  <c r="Q14" i="113"/>
  <c r="AI14" i="113" s="1"/>
  <c r="AH14" i="113"/>
  <c r="AH81" i="114"/>
  <c r="Q81" i="114"/>
  <c r="AI81" i="114" s="1"/>
  <c r="AA52" i="113"/>
  <c r="AF52" i="113"/>
  <c r="AF17" i="113"/>
  <c r="O58" i="113" s="1"/>
  <c r="AA17" i="113"/>
  <c r="J58" i="113" s="1"/>
  <c r="AB84" i="114"/>
  <c r="L84" i="114"/>
  <c r="L89" i="114"/>
  <c r="AB89" i="114"/>
  <c r="Q16" i="114"/>
  <c r="AI16" i="114" s="1"/>
  <c r="AH16" i="114"/>
  <c r="AF19" i="114"/>
  <c r="O65" i="114" s="1"/>
  <c r="O20" i="114"/>
  <c r="AE32" i="113"/>
  <c r="AF64" i="114"/>
  <c r="Q61" i="114"/>
  <c r="AI61" i="114" s="1"/>
  <c r="AH61" i="114"/>
  <c r="H19" i="114"/>
  <c r="X19" i="114"/>
  <c r="AE19" i="114"/>
  <c r="N65" i="114" s="1"/>
  <c r="N20" i="114"/>
  <c r="AA32" i="113"/>
  <c r="H64" i="114"/>
  <c r="X64" i="114"/>
  <c r="AB64" i="114"/>
  <c r="L64" i="114"/>
  <c r="L19" i="114"/>
  <c r="AB19" i="114"/>
  <c r="K65" i="114" s="1"/>
  <c r="K20" i="114"/>
  <c r="AF32" i="113"/>
  <c r="Q29" i="113"/>
  <c r="AI29" i="113" s="1"/>
  <c r="AH29" i="113"/>
  <c r="AA64" i="114"/>
  <c r="AA19" i="114"/>
  <c r="J65" i="114" s="1"/>
  <c r="J20" i="114"/>
  <c r="H32" i="113"/>
  <c r="X32" i="113"/>
  <c r="L32" i="113"/>
  <c r="AB32" i="113"/>
  <c r="AE64" i="114"/>
  <c r="X27" i="113"/>
  <c r="X54" i="114"/>
  <c r="O84" i="112"/>
  <c r="AF84" i="112" s="1"/>
  <c r="N84" i="112"/>
  <c r="AE84" i="112" s="1"/>
  <c r="J69" i="105"/>
  <c r="AA69" i="105" s="1"/>
  <c r="N24" i="112"/>
  <c r="AE24" i="112" s="1"/>
  <c r="L27" i="113"/>
  <c r="AB27" i="113"/>
  <c r="AA54" i="114"/>
  <c r="Q24" i="113"/>
  <c r="AI24" i="113" s="1"/>
  <c r="AH24" i="113"/>
  <c r="L54" i="114"/>
  <c r="AB54" i="114"/>
  <c r="AF54" i="114"/>
  <c r="AE27" i="113"/>
  <c r="Q51" i="114"/>
  <c r="AI51" i="114" s="1"/>
  <c r="AH51" i="114"/>
  <c r="K24" i="112"/>
  <c r="AB24" i="112" s="1"/>
  <c r="AA27" i="113"/>
  <c r="AF27" i="113"/>
  <c r="AE54" i="114"/>
  <c r="Z72" i="113"/>
  <c r="I73" i="113"/>
  <c r="Z109" i="114"/>
  <c r="I110" i="114"/>
  <c r="N35" i="114"/>
  <c r="AE34" i="114"/>
  <c r="O35" i="114"/>
  <c r="AF34" i="114"/>
  <c r="AH31" i="114"/>
  <c r="Q31" i="114"/>
  <c r="AI31" i="114" s="1"/>
  <c r="K35" i="114"/>
  <c r="AB34" i="114"/>
  <c r="L34" i="114"/>
  <c r="Y34" i="114"/>
  <c r="I34" i="114"/>
  <c r="H35" i="114"/>
  <c r="AA34" i="114"/>
  <c r="J35" i="114"/>
  <c r="I54" i="114"/>
  <c r="Y54" i="114"/>
  <c r="Y27" i="113"/>
  <c r="I27" i="113"/>
  <c r="Z34" i="63"/>
  <c r="Y19" i="105"/>
  <c r="P76" i="63"/>
  <c r="Q76" i="63" s="1"/>
  <c r="N54" i="112"/>
  <c r="AE54" i="112" s="1"/>
  <c r="G84" i="112"/>
  <c r="X84" i="112" s="1"/>
  <c r="P81" i="112"/>
  <c r="Q81" i="112" s="1"/>
  <c r="AI81" i="112" s="1"/>
  <c r="O79" i="63"/>
  <c r="AD79" i="63" s="1"/>
  <c r="O54" i="112"/>
  <c r="AF54" i="112" s="1"/>
  <c r="K54" i="112"/>
  <c r="AB54" i="112" s="1"/>
  <c r="J84" i="112"/>
  <c r="AA84" i="112" s="1"/>
  <c r="N79" i="63"/>
  <c r="AC79" i="63" s="1"/>
  <c r="G54" i="112"/>
  <c r="X54" i="112" s="1"/>
  <c r="O24" i="112"/>
  <c r="AF24" i="112" s="1"/>
  <c r="K79" i="63"/>
  <c r="P39" i="113"/>
  <c r="O42" i="113"/>
  <c r="J42" i="113"/>
  <c r="K42" i="113"/>
  <c r="N42" i="113"/>
  <c r="G42" i="113"/>
  <c r="P21" i="114"/>
  <c r="O24" i="114"/>
  <c r="K24" i="114"/>
  <c r="J24" i="114"/>
  <c r="N24" i="114"/>
  <c r="G24" i="114"/>
  <c r="N74" i="114"/>
  <c r="G74" i="114"/>
  <c r="J74" i="114"/>
  <c r="P71" i="114"/>
  <c r="O74" i="114"/>
  <c r="K74" i="114"/>
  <c r="G24" i="112"/>
  <c r="J24" i="112"/>
  <c r="AA24" i="112" s="1"/>
  <c r="J74" i="112"/>
  <c r="AA74" i="112" s="1"/>
  <c r="K74" i="112"/>
  <c r="P71" i="112"/>
  <c r="O74" i="112"/>
  <c r="AF74" i="112" s="1"/>
  <c r="N74" i="112"/>
  <c r="AE74" i="112" s="1"/>
  <c r="G79" i="63"/>
  <c r="U79" i="63"/>
  <c r="F80" i="63"/>
  <c r="H54" i="63"/>
  <c r="V54" i="63"/>
  <c r="G55" i="63"/>
  <c r="H34" i="63"/>
  <c r="V34" i="63"/>
  <c r="G35" i="63"/>
  <c r="L39" i="112"/>
  <c r="AC39" i="112" s="1"/>
  <c r="N24" i="106"/>
  <c r="AE24" i="106" s="1"/>
  <c r="O34" i="112"/>
  <c r="AF34" i="112" s="1"/>
  <c r="N109" i="63"/>
  <c r="AC109" i="63" s="1"/>
  <c r="N110" i="63" s="1"/>
  <c r="R97" i="112"/>
  <c r="R96" i="112"/>
  <c r="O119" i="63"/>
  <c r="AD119" i="63" s="1"/>
  <c r="P21" i="106"/>
  <c r="Q21" i="106" s="1"/>
  <c r="AI21" i="106" s="1"/>
  <c r="P31" i="112"/>
  <c r="Q31" i="112" s="1"/>
  <c r="AI31" i="112" s="1"/>
  <c r="Q46" i="112"/>
  <c r="AI46" i="112" s="1"/>
  <c r="AH46" i="112"/>
  <c r="L49" i="112"/>
  <c r="M49" i="112" s="1"/>
  <c r="AD49" i="112" s="1"/>
  <c r="N49" i="112"/>
  <c r="AE49" i="112" s="1"/>
  <c r="L114" i="112"/>
  <c r="O49" i="112"/>
  <c r="Q86" i="112"/>
  <c r="AI86" i="112" s="1"/>
  <c r="R86" i="112" s="1"/>
  <c r="AB49" i="112"/>
  <c r="AB114" i="112"/>
  <c r="AE114" i="112"/>
  <c r="AA114" i="112"/>
  <c r="F125" i="112"/>
  <c r="L59" i="63"/>
  <c r="AA59" i="63" s="1"/>
  <c r="AC109" i="112"/>
  <c r="M109" i="112"/>
  <c r="AC134" i="112"/>
  <c r="R106" i="112"/>
  <c r="R107" i="112"/>
  <c r="F55" i="112"/>
  <c r="F35" i="112"/>
  <c r="F60" i="112"/>
  <c r="F80" i="112"/>
  <c r="F70" i="112"/>
  <c r="M59" i="112"/>
  <c r="AC59" i="112"/>
  <c r="X79" i="112"/>
  <c r="H79" i="112"/>
  <c r="R91" i="112"/>
  <c r="R92" i="112"/>
  <c r="R66" i="112"/>
  <c r="R67" i="112"/>
  <c r="AC124" i="112"/>
  <c r="T76" i="112"/>
  <c r="T80" i="112"/>
  <c r="T78" i="112"/>
  <c r="T79" i="112"/>
  <c r="T77" i="112"/>
  <c r="F40" i="112"/>
  <c r="F120" i="112"/>
  <c r="F65" i="112"/>
  <c r="F90" i="112"/>
  <c r="F45" i="112"/>
  <c r="F105" i="112"/>
  <c r="AC64" i="112"/>
  <c r="T59" i="112"/>
  <c r="T57" i="112"/>
  <c r="T58" i="112"/>
  <c r="T56" i="112"/>
  <c r="AH56" i="112" s="1"/>
  <c r="T60" i="112"/>
  <c r="M44" i="112"/>
  <c r="AC44" i="112"/>
  <c r="H74" i="112"/>
  <c r="X74" i="112"/>
  <c r="V44" i="112"/>
  <c r="V41" i="112"/>
  <c r="T42" i="112"/>
  <c r="V42" i="112"/>
  <c r="V45" i="112"/>
  <c r="T43" i="112"/>
  <c r="T44" i="112"/>
  <c r="V43" i="112"/>
  <c r="T41" i="112"/>
  <c r="AH41" i="112" s="1"/>
  <c r="T45" i="112"/>
  <c r="X94" i="112"/>
  <c r="H94" i="112"/>
  <c r="H39" i="112"/>
  <c r="X39" i="112"/>
  <c r="V118" i="112"/>
  <c r="T118" i="112"/>
  <c r="V119" i="112"/>
  <c r="T116" i="112"/>
  <c r="AH116" i="112" s="1"/>
  <c r="V117" i="112"/>
  <c r="T120" i="112"/>
  <c r="T117" i="112"/>
  <c r="T119" i="112"/>
  <c r="V120" i="112"/>
  <c r="V116" i="112"/>
  <c r="X119" i="112"/>
  <c r="H119" i="112"/>
  <c r="H59" i="112"/>
  <c r="X59" i="112"/>
  <c r="AC69" i="112"/>
  <c r="M69" i="112"/>
  <c r="R61" i="112"/>
  <c r="R62" i="112"/>
  <c r="F115" i="112"/>
  <c r="F135" i="112"/>
  <c r="F100" i="112"/>
  <c r="F85" i="112"/>
  <c r="F50" i="112"/>
  <c r="F25" i="112"/>
  <c r="F20" i="112"/>
  <c r="F110" i="112"/>
  <c r="F30" i="112"/>
  <c r="F130" i="112"/>
  <c r="M89" i="112"/>
  <c r="AC89" i="112"/>
  <c r="X124" i="112"/>
  <c r="H124" i="112"/>
  <c r="X64" i="112"/>
  <c r="H64" i="112"/>
  <c r="AC119" i="112"/>
  <c r="M104" i="112"/>
  <c r="AC104" i="112"/>
  <c r="X44" i="112"/>
  <c r="H44" i="112"/>
  <c r="H69" i="112"/>
  <c r="X69" i="112"/>
  <c r="T103" i="112"/>
  <c r="T104" i="112"/>
  <c r="V102" i="112"/>
  <c r="V101" i="112"/>
  <c r="T105" i="112"/>
  <c r="V104" i="112"/>
  <c r="T102" i="112"/>
  <c r="V103" i="112"/>
  <c r="V105" i="112"/>
  <c r="T101" i="112"/>
  <c r="AH101" i="112" s="1"/>
  <c r="X104" i="112"/>
  <c r="H104" i="112"/>
  <c r="F75" i="112"/>
  <c r="F95" i="112"/>
  <c r="L29" i="112"/>
  <c r="AB29" i="112"/>
  <c r="Q26" i="112"/>
  <c r="AI26" i="112" s="1"/>
  <c r="H29" i="112"/>
  <c r="X29" i="112"/>
  <c r="AF29" i="112"/>
  <c r="AA29" i="112"/>
  <c r="AE29" i="112"/>
  <c r="AA19" i="112"/>
  <c r="X129" i="112"/>
  <c r="H129" i="112"/>
  <c r="AB129" i="112"/>
  <c r="AA34" i="112"/>
  <c r="AE19" i="112"/>
  <c r="AF19" i="112"/>
  <c r="T112" i="112"/>
  <c r="T111" i="112"/>
  <c r="AH111" i="112" s="1"/>
  <c r="T114" i="112"/>
  <c r="T113" i="112"/>
  <c r="T115" i="112"/>
  <c r="AI126" i="112"/>
  <c r="Q51" i="112"/>
  <c r="AI51" i="112" s="1"/>
  <c r="L84" i="112"/>
  <c r="AB84" i="112"/>
  <c r="H19" i="112"/>
  <c r="X19" i="112"/>
  <c r="Q16" i="112"/>
  <c r="AI16" i="112" s="1"/>
  <c r="AF129" i="112"/>
  <c r="I99" i="112"/>
  <c r="Z99" i="112" s="1"/>
  <c r="AB34" i="112"/>
  <c r="L34" i="112"/>
  <c r="AA54" i="112"/>
  <c r="Y114" i="112"/>
  <c r="I114" i="112"/>
  <c r="AB19" i="112"/>
  <c r="L19" i="112"/>
  <c r="AE129" i="112"/>
  <c r="AA129" i="112"/>
  <c r="X34" i="112"/>
  <c r="H34" i="112"/>
  <c r="L124" i="63"/>
  <c r="M124" i="63" s="1"/>
  <c r="AB124" i="63" s="1"/>
  <c r="G124" i="63"/>
  <c r="U124" i="63"/>
  <c r="F125" i="63"/>
  <c r="P56" i="105"/>
  <c r="Q56" i="105" s="1"/>
  <c r="AI56" i="105" s="1"/>
  <c r="J59" i="105"/>
  <c r="AA59" i="105" s="1"/>
  <c r="K59" i="105"/>
  <c r="AB59" i="105" s="1"/>
  <c r="U119" i="63"/>
  <c r="G119" i="63"/>
  <c r="F120" i="63"/>
  <c r="H59" i="63"/>
  <c r="V59" i="63"/>
  <c r="G60" i="63"/>
  <c r="P76" i="105"/>
  <c r="Q76" i="105" s="1"/>
  <c r="AI76" i="105" s="1"/>
  <c r="P21" i="105"/>
  <c r="Q21" i="105" s="1"/>
  <c r="AI21" i="105" s="1"/>
  <c r="N79" i="105"/>
  <c r="AE79" i="105" s="1"/>
  <c r="O24" i="105"/>
  <c r="AF24" i="105" s="1"/>
  <c r="O79" i="105"/>
  <c r="AF79" i="105" s="1"/>
  <c r="J39" i="105"/>
  <c r="AA39" i="105" s="1"/>
  <c r="K24" i="105"/>
  <c r="AB24" i="105" s="1"/>
  <c r="N24" i="105"/>
  <c r="AE24" i="105" s="1"/>
  <c r="J24" i="105"/>
  <c r="AA24" i="105" s="1"/>
  <c r="G64" i="105"/>
  <c r="X64" i="105" s="1"/>
  <c r="Q31" i="82"/>
  <c r="AI31" i="82" s="1"/>
  <c r="K59" i="106"/>
  <c r="AB59" i="106" s="1"/>
  <c r="G39" i="105"/>
  <c r="H39" i="105" s="1"/>
  <c r="L19" i="105"/>
  <c r="AC19" i="105" s="1"/>
  <c r="G149" i="82"/>
  <c r="X149" i="82" s="1"/>
  <c r="L74" i="105"/>
  <c r="M74" i="105" s="1"/>
  <c r="O49" i="82"/>
  <c r="AF49" i="82" s="1"/>
  <c r="N69" i="106"/>
  <c r="AE69" i="106" s="1"/>
  <c r="O84" i="106"/>
  <c r="AF84" i="106" s="1"/>
  <c r="P76" i="82"/>
  <c r="Q76" i="82" s="1"/>
  <c r="AI76" i="82" s="1"/>
  <c r="J74" i="106"/>
  <c r="AA74" i="106" s="1"/>
  <c r="P71" i="106"/>
  <c r="Q71" i="106" s="1"/>
  <c r="AI71" i="106" s="1"/>
  <c r="O39" i="106"/>
  <c r="AF39" i="106" s="1"/>
  <c r="P61" i="105"/>
  <c r="Q61" i="105" s="1"/>
  <c r="AI61" i="105" s="1"/>
  <c r="J49" i="106"/>
  <c r="AA49" i="106" s="1"/>
  <c r="N54" i="82"/>
  <c r="AE54" i="82" s="1"/>
  <c r="O74" i="106"/>
  <c r="AF74" i="106" s="1"/>
  <c r="P36" i="106"/>
  <c r="Q36" i="106" s="1"/>
  <c r="AI36" i="106" s="1"/>
  <c r="L64" i="106"/>
  <c r="M64" i="106" s="1"/>
  <c r="J64" i="105"/>
  <c r="AA64" i="105" s="1"/>
  <c r="N144" i="82"/>
  <c r="AE144" i="82" s="1"/>
  <c r="K49" i="106"/>
  <c r="L49" i="106" s="1"/>
  <c r="P81" i="106"/>
  <c r="Q81" i="106" s="1"/>
  <c r="AI81" i="106" s="1"/>
  <c r="J39" i="106"/>
  <c r="AA39" i="106" s="1"/>
  <c r="G39" i="106"/>
  <c r="X39" i="106" s="1"/>
  <c r="K74" i="106"/>
  <c r="N39" i="106"/>
  <c r="AE39" i="106" s="1"/>
  <c r="N84" i="106"/>
  <c r="AE84" i="106" s="1"/>
  <c r="P46" i="106"/>
  <c r="Q46" i="106" s="1"/>
  <c r="AI46" i="106" s="1"/>
  <c r="P41" i="105"/>
  <c r="Q41" i="105" s="1"/>
  <c r="AI41" i="105" s="1"/>
  <c r="K44" i="105"/>
  <c r="AB44" i="105" s="1"/>
  <c r="J49" i="105"/>
  <c r="AA49" i="105" s="1"/>
  <c r="J84" i="106"/>
  <c r="AA84" i="106" s="1"/>
  <c r="O19" i="106"/>
  <c r="AF19" i="106" s="1"/>
  <c r="J19" i="106"/>
  <c r="AA19" i="106" s="1"/>
  <c r="K79" i="105"/>
  <c r="AB69" i="106"/>
  <c r="L69" i="106"/>
  <c r="AC69" i="106" s="1"/>
  <c r="AB49" i="105"/>
  <c r="L49" i="105"/>
  <c r="AC49" i="105" s="1"/>
  <c r="AB84" i="106"/>
  <c r="L84" i="106"/>
  <c r="M84" i="106" s="1"/>
  <c r="X49" i="106"/>
  <c r="H49" i="106"/>
  <c r="X69" i="105"/>
  <c r="H69" i="105"/>
  <c r="X59" i="106"/>
  <c r="H59" i="106"/>
  <c r="W69" i="106"/>
  <c r="G69" i="106"/>
  <c r="H59" i="105"/>
  <c r="X59" i="105"/>
  <c r="X34" i="105"/>
  <c r="H34" i="105"/>
  <c r="W84" i="106"/>
  <c r="G84" i="106"/>
  <c r="N79" i="82"/>
  <c r="AE79" i="82" s="1"/>
  <c r="N129" i="82"/>
  <c r="AE129" i="82" s="1"/>
  <c r="P61" i="82"/>
  <c r="Q61" i="82" s="1"/>
  <c r="AI61" i="82" s="1"/>
  <c r="O69" i="106"/>
  <c r="AF69" i="106" s="1"/>
  <c r="O39" i="105"/>
  <c r="AF39" i="105" s="1"/>
  <c r="N19" i="106"/>
  <c r="AE19" i="106" s="1"/>
  <c r="P66" i="105"/>
  <c r="N44" i="105"/>
  <c r="AE44" i="105" s="1"/>
  <c r="P56" i="106"/>
  <c r="J59" i="106"/>
  <c r="AA59" i="106" s="1"/>
  <c r="J44" i="105"/>
  <c r="AA44" i="105" s="1"/>
  <c r="K39" i="105"/>
  <c r="AB39" i="105" s="1"/>
  <c r="G44" i="105"/>
  <c r="X29" i="105"/>
  <c r="H29" i="105"/>
  <c r="G49" i="105"/>
  <c r="W49" i="105"/>
  <c r="X24" i="105"/>
  <c r="H24" i="105"/>
  <c r="W79" i="106"/>
  <c r="G79" i="106"/>
  <c r="H29" i="106"/>
  <c r="X29" i="106"/>
  <c r="W74" i="106"/>
  <c r="G74" i="106"/>
  <c r="J69" i="106"/>
  <c r="AA69" i="106" s="1"/>
  <c r="Y44" i="106"/>
  <c r="I44" i="106"/>
  <c r="Z44" i="106" s="1"/>
  <c r="G79" i="105"/>
  <c r="W79" i="105"/>
  <c r="X19" i="106"/>
  <c r="H19" i="106"/>
  <c r="AB79" i="106"/>
  <c r="L79" i="106"/>
  <c r="J84" i="62"/>
  <c r="Y84" i="62" s="1"/>
  <c r="K79" i="82"/>
  <c r="AB79" i="82" s="1"/>
  <c r="K129" i="82"/>
  <c r="L129" i="82" s="1"/>
  <c r="P66" i="106"/>
  <c r="Q66" i="106" s="1"/>
  <c r="AI66" i="106" s="1"/>
  <c r="L24" i="106"/>
  <c r="M24" i="106" s="1"/>
  <c r="P16" i="106"/>
  <c r="Q16" i="106" s="1"/>
  <c r="AI16" i="106" s="1"/>
  <c r="P46" i="105"/>
  <c r="Q46" i="105" s="1"/>
  <c r="AI46" i="105" s="1"/>
  <c r="K69" i="105"/>
  <c r="L69" i="105" s="1"/>
  <c r="M69" i="105" s="1"/>
  <c r="O144" i="82"/>
  <c r="AF144" i="82" s="1"/>
  <c r="K19" i="106"/>
  <c r="X24" i="106"/>
  <c r="H24" i="106"/>
  <c r="X34" i="106"/>
  <c r="H34" i="106"/>
  <c r="H54" i="105"/>
  <c r="X54" i="105"/>
  <c r="W64" i="106"/>
  <c r="G64" i="106"/>
  <c r="W74" i="105"/>
  <c r="G74" i="105"/>
  <c r="P41" i="106"/>
  <c r="N74" i="82"/>
  <c r="AE74" i="82" s="1"/>
  <c r="P56" i="82"/>
  <c r="Q56" i="82" s="1"/>
  <c r="AI56" i="82" s="1"/>
  <c r="P66" i="62"/>
  <c r="Q66" i="62" s="1"/>
  <c r="H109" i="63"/>
  <c r="W109" i="63" s="1"/>
  <c r="L29" i="106"/>
  <c r="AC29" i="106" s="1"/>
  <c r="P61" i="106"/>
  <c r="Q61" i="106" s="1"/>
  <c r="AI61" i="106" s="1"/>
  <c r="N49" i="82"/>
  <c r="AE49" i="82" s="1"/>
  <c r="O49" i="105"/>
  <c r="AF49" i="105" s="1"/>
  <c r="AF54" i="106"/>
  <c r="O54" i="82"/>
  <c r="AF54" i="82" s="1"/>
  <c r="O74" i="82"/>
  <c r="AF74" i="82" s="1"/>
  <c r="N49" i="105"/>
  <c r="AE49" i="105" s="1"/>
  <c r="O44" i="105"/>
  <c r="AF44" i="105" s="1"/>
  <c r="AE54" i="106"/>
  <c r="O144" i="63"/>
  <c r="AD144" i="63" s="1"/>
  <c r="P91" i="62"/>
  <c r="Q91" i="62" s="1"/>
  <c r="L39" i="106"/>
  <c r="M39" i="106" s="1"/>
  <c r="L34" i="106"/>
  <c r="AC34" i="106" s="1"/>
  <c r="L34" i="105"/>
  <c r="AC34" i="105" s="1"/>
  <c r="L44" i="106"/>
  <c r="M44" i="106" s="1"/>
  <c r="L54" i="105"/>
  <c r="AC54" i="105" s="1"/>
  <c r="L64" i="105"/>
  <c r="AB29" i="105"/>
  <c r="L29" i="105"/>
  <c r="AB54" i="106"/>
  <c r="L54" i="106"/>
  <c r="L144" i="82"/>
  <c r="AB144" i="82"/>
  <c r="AF19" i="105"/>
  <c r="Q16" i="105"/>
  <c r="AI16" i="105" s="1"/>
  <c r="AF59" i="105"/>
  <c r="AE74" i="106"/>
  <c r="AF54" i="105"/>
  <c r="AE54" i="105"/>
  <c r="AE39" i="105"/>
  <c r="AF74" i="105"/>
  <c r="Q71" i="105"/>
  <c r="AI71" i="105" s="1"/>
  <c r="AF64" i="105"/>
  <c r="Q31" i="106"/>
  <c r="AI31" i="106" s="1"/>
  <c r="AF34" i="106"/>
  <c r="AE29" i="106"/>
  <c r="Q26" i="106"/>
  <c r="AI26" i="106" s="1"/>
  <c r="AE59" i="106"/>
  <c r="AE44" i="106"/>
  <c r="AE34" i="105"/>
  <c r="Q31" i="105"/>
  <c r="AI31" i="105" s="1"/>
  <c r="AE69" i="105"/>
  <c r="AF69" i="105"/>
  <c r="AE64" i="106"/>
  <c r="AE19" i="105"/>
  <c r="AE59" i="105"/>
  <c r="Q51" i="105"/>
  <c r="AI51" i="105" s="1"/>
  <c r="AF24" i="106"/>
  <c r="Q36" i="105"/>
  <c r="AI36" i="105" s="1"/>
  <c r="AE74" i="105"/>
  <c r="AE64" i="105"/>
  <c r="AE34" i="106"/>
  <c r="AF29" i="106"/>
  <c r="AC59" i="106"/>
  <c r="AF59" i="106"/>
  <c r="AF44" i="106"/>
  <c r="AF34" i="105"/>
  <c r="AF64" i="106"/>
  <c r="N144" i="63"/>
  <c r="AC144" i="63" s="1"/>
  <c r="AB139" i="82"/>
  <c r="J44" i="62"/>
  <c r="Y44" i="62" s="1"/>
  <c r="O79" i="82"/>
  <c r="AF79" i="82" s="1"/>
  <c r="N29" i="82"/>
  <c r="O29" i="82"/>
  <c r="G110" i="63"/>
  <c r="J129" i="82"/>
  <c r="AA129" i="82" s="1"/>
  <c r="O129" i="82"/>
  <c r="AF129" i="82" s="1"/>
  <c r="K109" i="82"/>
  <c r="AB109" i="82" s="1"/>
  <c r="J74" i="82"/>
  <c r="AA74" i="82" s="1"/>
  <c r="AB54" i="82"/>
  <c r="O84" i="62"/>
  <c r="AD84" i="62" s="1"/>
  <c r="P26" i="82"/>
  <c r="P36" i="82"/>
  <c r="O44" i="62"/>
  <c r="AD44" i="62" s="1"/>
  <c r="K44" i="62"/>
  <c r="L44" i="62" s="1"/>
  <c r="N44" i="62"/>
  <c r="AC44" i="62" s="1"/>
  <c r="G29" i="82"/>
  <c r="N89" i="82"/>
  <c r="AE89" i="82" s="1"/>
  <c r="O89" i="82"/>
  <c r="AF89" i="82" s="1"/>
  <c r="J29" i="82"/>
  <c r="P86" i="82"/>
  <c r="Q86" i="82" s="1"/>
  <c r="AI86" i="82" s="1"/>
  <c r="H144" i="63"/>
  <c r="W144" i="63" s="1"/>
  <c r="O119" i="82"/>
  <c r="AF119" i="82" s="1"/>
  <c r="P116" i="82"/>
  <c r="Q116" i="82" s="1"/>
  <c r="AI116" i="82" s="1"/>
  <c r="K84" i="62"/>
  <c r="Z84" i="62" s="1"/>
  <c r="K74" i="82"/>
  <c r="L74" i="82" s="1"/>
  <c r="N59" i="82"/>
  <c r="AE59" i="82" s="1"/>
  <c r="J59" i="82"/>
  <c r="AA59" i="82" s="1"/>
  <c r="K59" i="82"/>
  <c r="O59" i="82"/>
  <c r="AF59" i="82" s="1"/>
  <c r="O134" i="82"/>
  <c r="AF134" i="82" s="1"/>
  <c r="N134" i="82"/>
  <c r="AE134" i="82" s="1"/>
  <c r="K134" i="82"/>
  <c r="L134" i="82" s="1"/>
  <c r="M134" i="82" s="1"/>
  <c r="J134" i="82"/>
  <c r="AA134" i="82" s="1"/>
  <c r="P131" i="82"/>
  <c r="Q131" i="82" s="1"/>
  <c r="AI131" i="82" s="1"/>
  <c r="G134" i="82"/>
  <c r="H134" i="82" s="1"/>
  <c r="I134" i="82" s="1"/>
  <c r="N39" i="82"/>
  <c r="J39" i="82"/>
  <c r="K39" i="82"/>
  <c r="O39" i="82"/>
  <c r="O64" i="82"/>
  <c r="AF64" i="82" s="1"/>
  <c r="K64" i="82"/>
  <c r="J64" i="82"/>
  <c r="AA64" i="82" s="1"/>
  <c r="N64" i="82"/>
  <c r="AE64" i="82" s="1"/>
  <c r="G64" i="82"/>
  <c r="H64" i="82" s="1"/>
  <c r="I64" i="82" s="1"/>
  <c r="G79" i="82"/>
  <c r="H79" i="82" s="1"/>
  <c r="AB44" i="82"/>
  <c r="L114" i="82"/>
  <c r="AC114" i="82" s="1"/>
  <c r="AF34" i="82"/>
  <c r="AA34" i="82"/>
  <c r="AB49" i="82"/>
  <c r="AA89" i="82"/>
  <c r="G129" i="82"/>
  <c r="X129" i="82" s="1"/>
  <c r="H84" i="82"/>
  <c r="H104" i="82"/>
  <c r="M104" i="82"/>
  <c r="AA49" i="82"/>
  <c r="AE19" i="82"/>
  <c r="AB124" i="82"/>
  <c r="AE24" i="82"/>
  <c r="AE109" i="82"/>
  <c r="L119" i="82"/>
  <c r="AC119" i="82" s="1"/>
  <c r="W69" i="82"/>
  <c r="G34" i="82"/>
  <c r="AE34" i="82"/>
  <c r="L34" i="82"/>
  <c r="AA79" i="82"/>
  <c r="AB29" i="82"/>
  <c r="AA69" i="82"/>
  <c r="G74" i="82"/>
  <c r="X74" i="82" s="1"/>
  <c r="M149" i="82"/>
  <c r="AD149" i="82" s="1"/>
  <c r="M84" i="82"/>
  <c r="H59" i="82"/>
  <c r="H39" i="82"/>
  <c r="P96" i="82"/>
  <c r="Q96" i="82" s="1"/>
  <c r="AI96" i="82" s="1"/>
  <c r="G145" i="63"/>
  <c r="H139" i="82"/>
  <c r="X139" i="82"/>
  <c r="AC139" i="82"/>
  <c r="M139" i="82"/>
  <c r="K69" i="82"/>
  <c r="P41" i="62"/>
  <c r="Q41" i="62" s="1"/>
  <c r="P81" i="62"/>
  <c r="Q81" i="62" s="1"/>
  <c r="N84" i="62"/>
  <c r="AC84" i="62" s="1"/>
  <c r="P46" i="63"/>
  <c r="Q46" i="63" s="1"/>
  <c r="J124" i="82"/>
  <c r="AA124" i="82" s="1"/>
  <c r="AC104" i="82"/>
  <c r="O19" i="82"/>
  <c r="G89" i="82"/>
  <c r="K89" i="82"/>
  <c r="AC149" i="82"/>
  <c r="J94" i="63"/>
  <c r="Y94" i="63" s="1"/>
  <c r="P41" i="63"/>
  <c r="Q41" i="63" s="1"/>
  <c r="J49" i="62"/>
  <c r="Y49" i="62" s="1"/>
  <c r="P41" i="82"/>
  <c r="Q41" i="82" s="1"/>
  <c r="AI41" i="82" s="1"/>
  <c r="J94" i="82"/>
  <c r="K99" i="82"/>
  <c r="K94" i="82"/>
  <c r="O94" i="63"/>
  <c r="AD94" i="63" s="1"/>
  <c r="O49" i="63"/>
  <c r="AD49" i="63" s="1"/>
  <c r="N44" i="63"/>
  <c r="AC44" i="63" s="1"/>
  <c r="K24" i="82"/>
  <c r="K94" i="63"/>
  <c r="L94" i="63" s="1"/>
  <c r="P91" i="63"/>
  <c r="Q91" i="63" s="1"/>
  <c r="N94" i="63"/>
  <c r="AC94" i="63" s="1"/>
  <c r="K44" i="63"/>
  <c r="L44" i="63" s="1"/>
  <c r="J44" i="63"/>
  <c r="Y44" i="63" s="1"/>
  <c r="O44" i="63"/>
  <c r="AD44" i="63" s="1"/>
  <c r="J99" i="82"/>
  <c r="J24" i="82"/>
  <c r="AA104" i="82"/>
  <c r="N44" i="82"/>
  <c r="P91" i="82"/>
  <c r="Q91" i="82" s="1"/>
  <c r="AI91" i="82" s="1"/>
  <c r="O94" i="82"/>
  <c r="O24" i="82"/>
  <c r="AF104" i="82"/>
  <c r="AE104" i="82"/>
  <c r="N94" i="82"/>
  <c r="G69" i="82"/>
  <c r="V44" i="63"/>
  <c r="H44" i="63"/>
  <c r="G45" i="63"/>
  <c r="O84" i="63"/>
  <c r="AD84" i="63" s="1"/>
  <c r="K84" i="63"/>
  <c r="N84" i="63"/>
  <c r="AC84" i="63" s="1"/>
  <c r="P81" i="63"/>
  <c r="Q81" i="63" s="1"/>
  <c r="J84" i="63"/>
  <c r="Y84" i="63" s="1"/>
  <c r="G84" i="63"/>
  <c r="V94" i="63"/>
  <c r="H94" i="63"/>
  <c r="G95" i="63"/>
  <c r="O69" i="63"/>
  <c r="AD69" i="63" s="1"/>
  <c r="N69" i="63"/>
  <c r="AC69" i="63" s="1"/>
  <c r="K69" i="63"/>
  <c r="P66" i="63"/>
  <c r="Q66" i="63" s="1"/>
  <c r="J69" i="63"/>
  <c r="Y69" i="63" s="1"/>
  <c r="G69" i="63"/>
  <c r="V44" i="62"/>
  <c r="H44" i="62"/>
  <c r="L49" i="82"/>
  <c r="W34" i="82"/>
  <c r="F40" i="82" s="1"/>
  <c r="G24" i="82"/>
  <c r="L29" i="82"/>
  <c r="W54" i="82"/>
  <c r="N99" i="82"/>
  <c r="AB34" i="82"/>
  <c r="AB84" i="82"/>
  <c r="G119" i="82"/>
  <c r="X84" i="82"/>
  <c r="AA84" i="82"/>
  <c r="J114" i="82"/>
  <c r="J109" i="82"/>
  <c r="P71" i="82"/>
  <c r="Q71" i="82" s="1"/>
  <c r="AI71" i="82" s="1"/>
  <c r="AF84" i="82"/>
  <c r="W89" i="82"/>
  <c r="G109" i="82"/>
  <c r="W79" i="82"/>
  <c r="AE84" i="82"/>
  <c r="O114" i="82"/>
  <c r="P106" i="82"/>
  <c r="Q106" i="82" s="1"/>
  <c r="AI106" i="82" s="1"/>
  <c r="O109" i="82"/>
  <c r="N114" i="82"/>
  <c r="AI126" i="82"/>
  <c r="O99" i="82"/>
  <c r="AI81" i="82"/>
  <c r="P111" i="82"/>
  <c r="Q111" i="82" s="1"/>
  <c r="AI111" i="82" s="1"/>
  <c r="L124" i="82"/>
  <c r="AB119" i="82"/>
  <c r="AC54" i="82"/>
  <c r="L44" i="82"/>
  <c r="G124" i="82"/>
  <c r="G19" i="82"/>
  <c r="G114" i="82"/>
  <c r="G44" i="82"/>
  <c r="J44" i="82"/>
  <c r="J119" i="82"/>
  <c r="N124" i="82"/>
  <c r="O44" i="82"/>
  <c r="N119" i="82"/>
  <c r="P21" i="82"/>
  <c r="P121" i="82"/>
  <c r="Q121" i="82" s="1"/>
  <c r="AI121" i="82" s="1"/>
  <c r="O124" i="82"/>
  <c r="P16" i="82"/>
  <c r="K19" i="82"/>
  <c r="J19" i="82"/>
  <c r="AB114" i="82"/>
  <c r="N69" i="82"/>
  <c r="P66" i="82"/>
  <c r="Q66" i="82" s="1"/>
  <c r="AI66" i="82" s="1"/>
  <c r="O69" i="82"/>
  <c r="AB104" i="82"/>
  <c r="H99" i="82"/>
  <c r="X99" i="82"/>
  <c r="X54" i="82"/>
  <c r="AC84" i="82"/>
  <c r="H94" i="82"/>
  <c r="X94" i="82"/>
  <c r="X104" i="82"/>
  <c r="H49" i="82"/>
  <c r="X49" i="82"/>
  <c r="O49" i="62"/>
  <c r="AD49" i="62" s="1"/>
  <c r="K49" i="62"/>
  <c r="L49" i="62" s="1"/>
  <c r="P46" i="62"/>
  <c r="Q46" i="62" s="1"/>
  <c r="H49" i="62"/>
  <c r="I49" i="62" s="1"/>
  <c r="N49" i="62"/>
  <c r="AC49" i="62" s="1"/>
  <c r="P131" i="62"/>
  <c r="Q131" i="62" s="1"/>
  <c r="O134" i="63"/>
  <c r="AD134" i="63" s="1"/>
  <c r="N134" i="63"/>
  <c r="AC134" i="63" s="1"/>
  <c r="P131" i="63"/>
  <c r="Q131" i="63" s="1"/>
  <c r="J114" i="63"/>
  <c r="Y114" i="63" s="1"/>
  <c r="O114" i="63"/>
  <c r="AD114" i="63" s="1"/>
  <c r="N114" i="63"/>
  <c r="AC114" i="63" s="1"/>
  <c r="J49" i="63"/>
  <c r="Y49" i="63" s="1"/>
  <c r="K49" i="63"/>
  <c r="L49" i="63" s="1"/>
  <c r="N49" i="63"/>
  <c r="AC49" i="63" s="1"/>
  <c r="G134" i="63"/>
  <c r="K134" i="63"/>
  <c r="J134" i="63"/>
  <c r="Y134" i="63" s="1"/>
  <c r="G129" i="63"/>
  <c r="H129" i="63" s="1"/>
  <c r="K129" i="63"/>
  <c r="J129" i="63"/>
  <c r="Y129" i="63" s="1"/>
  <c r="H49" i="63"/>
  <c r="V49" i="63"/>
  <c r="G50" i="63"/>
  <c r="H114" i="63"/>
  <c r="V114" i="63"/>
  <c r="G115" i="63"/>
  <c r="M139" i="63"/>
  <c r="AB139" i="63" s="1"/>
  <c r="AA139" i="63"/>
  <c r="L149" i="63"/>
  <c r="Z149" i="63"/>
  <c r="M34" i="63"/>
  <c r="AB34" i="63" s="1"/>
  <c r="AA34" i="63"/>
  <c r="L144" i="63"/>
  <c r="Z144" i="63"/>
  <c r="Z24" i="63"/>
  <c r="L24" i="63"/>
  <c r="Z19" i="63"/>
  <c r="L19" i="63"/>
  <c r="Z89" i="63"/>
  <c r="L89" i="63"/>
  <c r="L29" i="63"/>
  <c r="Z29" i="63"/>
  <c r="L54" i="63"/>
  <c r="Z54" i="63"/>
  <c r="L39" i="63"/>
  <c r="Z39" i="63"/>
  <c r="Z114" i="63"/>
  <c r="L114" i="63"/>
  <c r="Z99" i="63"/>
  <c r="L99" i="63"/>
  <c r="Y109" i="63"/>
  <c r="J110" i="63" s="1"/>
  <c r="L109" i="63"/>
  <c r="Z109" i="63"/>
  <c r="A121" i="63"/>
  <c r="A126" i="63"/>
  <c r="Q106" i="63"/>
  <c r="A96" i="63"/>
  <c r="A56" i="63"/>
  <c r="A21" i="63"/>
  <c r="A151" i="63"/>
  <c r="A111" i="63"/>
  <c r="A31" i="63"/>
  <c r="A136" i="63"/>
  <c r="A71" i="63"/>
  <c r="A106" i="63"/>
  <c r="A86" i="63"/>
  <c r="A36" i="63"/>
  <c r="A26" i="63"/>
  <c r="A141" i="63"/>
  <c r="A101" i="63"/>
  <c r="A61" i="63"/>
  <c r="A146" i="63"/>
  <c r="A116" i="63"/>
  <c r="A16" i="63"/>
  <c r="AD109" i="63"/>
  <c r="O110" i="63" s="1"/>
  <c r="H84" i="62"/>
  <c r="W84" i="62" s="1"/>
  <c r="W89" i="62"/>
  <c r="I89" i="62"/>
  <c r="X89" i="62" s="1"/>
  <c r="Z89" i="62"/>
  <c r="L89" i="62"/>
  <c r="AC154" i="62"/>
  <c r="U154" i="62"/>
  <c r="A141" i="62"/>
  <c r="A126" i="62"/>
  <c r="A96" i="62"/>
  <c r="A36" i="62"/>
  <c r="A101" i="62"/>
  <c r="A136" i="62"/>
  <c r="A56" i="62"/>
  <c r="A71" i="62"/>
  <c r="A16" i="62"/>
  <c r="A116" i="62"/>
  <c r="A26" i="62"/>
  <c r="A31" i="62"/>
  <c r="A76" i="62"/>
  <c r="A86" i="62"/>
  <c r="A146" i="62"/>
  <c r="A106" i="62"/>
  <c r="A21" i="62"/>
  <c r="A121" i="62"/>
  <c r="A51" i="62"/>
  <c r="A61" i="62"/>
  <c r="A111" i="62"/>
  <c r="Z154" i="62"/>
  <c r="L64" i="63" l="1"/>
  <c r="AA64" i="63" s="1"/>
  <c r="A51" i="63"/>
  <c r="S53" i="63" s="1"/>
  <c r="AC94" i="112"/>
  <c r="H89" i="112"/>
  <c r="I89" i="112" s="1"/>
  <c r="I39" i="114"/>
  <c r="Z39" i="114" s="1"/>
  <c r="H28" i="113"/>
  <c r="AH76" i="112"/>
  <c r="R76" i="112" s="1"/>
  <c r="O33" i="113"/>
  <c r="O28" i="113"/>
  <c r="N33" i="113"/>
  <c r="Y84" i="114"/>
  <c r="L24" i="112"/>
  <c r="M24" i="112" s="1"/>
  <c r="AD24" i="112" s="1"/>
  <c r="K28" i="113"/>
  <c r="G33" i="113"/>
  <c r="G28" i="113"/>
  <c r="G53" i="113"/>
  <c r="G18" i="113"/>
  <c r="K55" i="114"/>
  <c r="N55" i="114"/>
  <c r="J28" i="113"/>
  <c r="M64" i="63"/>
  <c r="AB64" i="63" s="1"/>
  <c r="J55" i="114"/>
  <c r="K33" i="113"/>
  <c r="Z74" i="63"/>
  <c r="L74" i="63"/>
  <c r="H74" i="63"/>
  <c r="V74" i="63"/>
  <c r="G75" i="63"/>
  <c r="H65" i="63"/>
  <c r="W64" i="63"/>
  <c r="I64" i="63"/>
  <c r="AB79" i="112"/>
  <c r="L79" i="112"/>
  <c r="N28" i="113"/>
  <c r="O55" i="114"/>
  <c r="H53" i="113"/>
  <c r="J33" i="113"/>
  <c r="K18" i="113"/>
  <c r="K53" i="113"/>
  <c r="R82" i="114"/>
  <c r="R81" i="114"/>
  <c r="R37" i="114"/>
  <c r="R36" i="114"/>
  <c r="O18" i="113"/>
  <c r="J53" i="113"/>
  <c r="AC84" i="114"/>
  <c r="M84" i="114"/>
  <c r="AD84" i="114" s="1"/>
  <c r="R15" i="113"/>
  <c r="R14" i="113"/>
  <c r="M39" i="114"/>
  <c r="AD39" i="114" s="1"/>
  <c r="AC39" i="114"/>
  <c r="Z17" i="113"/>
  <c r="I58" i="113" s="1"/>
  <c r="M89" i="114"/>
  <c r="AD89" i="114" s="1"/>
  <c r="AC89" i="114"/>
  <c r="R50" i="113"/>
  <c r="R49" i="113"/>
  <c r="AC52" i="113"/>
  <c r="M52" i="113"/>
  <c r="Z52" i="113"/>
  <c r="J18" i="113"/>
  <c r="O53" i="113"/>
  <c r="N18" i="113"/>
  <c r="N53" i="113"/>
  <c r="H18" i="113"/>
  <c r="M57" i="113"/>
  <c r="AD57" i="113" s="1"/>
  <c r="AC57" i="113"/>
  <c r="R86" i="114"/>
  <c r="R87" i="114"/>
  <c r="AC17" i="113"/>
  <c r="L58" i="113" s="1"/>
  <c r="M17" i="113"/>
  <c r="R55" i="113"/>
  <c r="R54" i="113"/>
  <c r="N90" i="114"/>
  <c r="N40" i="114"/>
  <c r="N85" i="114"/>
  <c r="J90" i="114"/>
  <c r="J40" i="114"/>
  <c r="J85" i="114"/>
  <c r="K90" i="114"/>
  <c r="K40" i="114"/>
  <c r="K85" i="114"/>
  <c r="O90" i="114"/>
  <c r="O40" i="114"/>
  <c r="O85" i="114"/>
  <c r="I32" i="113"/>
  <c r="Y32" i="113"/>
  <c r="H33" i="113"/>
  <c r="I64" i="114"/>
  <c r="Y64" i="114"/>
  <c r="M19" i="114"/>
  <c r="AC19" i="114"/>
  <c r="L55" i="114" s="1"/>
  <c r="L20" i="114"/>
  <c r="R61" i="114"/>
  <c r="R62" i="114"/>
  <c r="R17" i="114"/>
  <c r="R16" i="114"/>
  <c r="I19" i="114"/>
  <c r="Y19" i="114"/>
  <c r="M32" i="113"/>
  <c r="AC32" i="113"/>
  <c r="L33" i="113"/>
  <c r="R29" i="113"/>
  <c r="R30" i="113"/>
  <c r="M64" i="114"/>
  <c r="AC64" i="114"/>
  <c r="H54" i="112"/>
  <c r="I54" i="112" s="1"/>
  <c r="M27" i="113"/>
  <c r="AC27" i="113"/>
  <c r="L28" i="113"/>
  <c r="R25" i="113"/>
  <c r="R24" i="113"/>
  <c r="R52" i="114"/>
  <c r="R51" i="114"/>
  <c r="M54" i="114"/>
  <c r="AC54" i="114"/>
  <c r="L35" i="114"/>
  <c r="AC34" i="114"/>
  <c r="M34" i="114"/>
  <c r="I35" i="114"/>
  <c r="Z34" i="114"/>
  <c r="R32" i="114"/>
  <c r="R31" i="114"/>
  <c r="Z27" i="113"/>
  <c r="I28" i="113"/>
  <c r="Z54" i="114"/>
  <c r="H84" i="112"/>
  <c r="Y84" i="112" s="1"/>
  <c r="L54" i="112"/>
  <c r="AC54" i="112" s="1"/>
  <c r="A76" i="63"/>
  <c r="S79" i="63" s="1"/>
  <c r="Z79" i="63"/>
  <c r="L79" i="63"/>
  <c r="AF74" i="114"/>
  <c r="O75" i="114"/>
  <c r="AE74" i="114"/>
  <c r="N75" i="114"/>
  <c r="AB24" i="114"/>
  <c r="L24" i="114"/>
  <c r="K25" i="114"/>
  <c r="AE42" i="113"/>
  <c r="N43" i="113"/>
  <c r="Q39" i="113"/>
  <c r="AI39" i="113" s="1"/>
  <c r="AH39" i="113"/>
  <c r="AB74" i="112"/>
  <c r="L74" i="112"/>
  <c r="L74" i="114"/>
  <c r="AB74" i="114"/>
  <c r="K75" i="114"/>
  <c r="H74" i="114"/>
  <c r="X74" i="114"/>
  <c r="G75" i="114"/>
  <c r="AA24" i="114"/>
  <c r="J25" i="114"/>
  <c r="H42" i="113"/>
  <c r="X42" i="113"/>
  <c r="G43" i="113"/>
  <c r="AF42" i="113"/>
  <c r="O43" i="113"/>
  <c r="Q71" i="112"/>
  <c r="AI71" i="112" s="1"/>
  <c r="AH71" i="112"/>
  <c r="X24" i="112"/>
  <c r="H24" i="112"/>
  <c r="AA74" i="114"/>
  <c r="J75" i="114"/>
  <c r="AE24" i="114"/>
  <c r="N25" i="114"/>
  <c r="Q21" i="114"/>
  <c r="AI21" i="114" s="1"/>
  <c r="AH21" i="114"/>
  <c r="AA42" i="113"/>
  <c r="J43" i="113"/>
  <c r="Q71" i="114"/>
  <c r="AI71" i="114" s="1"/>
  <c r="AH71" i="114"/>
  <c r="H24" i="114"/>
  <c r="X24" i="114"/>
  <c r="G25" i="114" s="1"/>
  <c r="AF24" i="114"/>
  <c r="O25" i="114"/>
  <c r="AB42" i="113"/>
  <c r="L42" i="113"/>
  <c r="K43" i="113"/>
  <c r="V79" i="63"/>
  <c r="H79" i="63"/>
  <c r="G80" i="63"/>
  <c r="W34" i="63"/>
  <c r="I34" i="63"/>
  <c r="H35" i="63"/>
  <c r="I54" i="63"/>
  <c r="W54" i="63"/>
  <c r="H55" i="63"/>
  <c r="M39" i="112"/>
  <c r="AD39" i="112" s="1"/>
  <c r="AA124" i="63"/>
  <c r="J105" i="112"/>
  <c r="K105" i="112"/>
  <c r="N100" i="112"/>
  <c r="N85" i="112"/>
  <c r="N25" i="112"/>
  <c r="N20" i="112"/>
  <c r="N55" i="112"/>
  <c r="N30" i="112"/>
  <c r="O30" i="112"/>
  <c r="O55" i="112"/>
  <c r="J120" i="112"/>
  <c r="AC114" i="112"/>
  <c r="AC49" i="112"/>
  <c r="R47" i="112"/>
  <c r="R46" i="112"/>
  <c r="R87" i="112"/>
  <c r="K60" i="112"/>
  <c r="K70" i="112"/>
  <c r="K90" i="112"/>
  <c r="K95" i="112"/>
  <c r="K65" i="112"/>
  <c r="K80" i="112"/>
  <c r="K75" i="112"/>
  <c r="K45" i="112"/>
  <c r="K20" i="112"/>
  <c r="K115" i="112"/>
  <c r="K85" i="112"/>
  <c r="K40" i="112"/>
  <c r="K35" i="112"/>
  <c r="K30" i="112"/>
  <c r="AF49" i="112"/>
  <c r="O70" i="112" s="1"/>
  <c r="K55" i="112"/>
  <c r="K25" i="112"/>
  <c r="K50" i="112"/>
  <c r="N65" i="112"/>
  <c r="N60" i="112"/>
  <c r="N95" i="112"/>
  <c r="N70" i="112"/>
  <c r="N50" i="112"/>
  <c r="N80" i="112"/>
  <c r="N45" i="112"/>
  <c r="N90" i="112"/>
  <c r="N75" i="112"/>
  <c r="N105" i="112"/>
  <c r="J35" i="112"/>
  <c r="J55" i="112"/>
  <c r="J20" i="112"/>
  <c r="J30" i="112"/>
  <c r="J45" i="112"/>
  <c r="J50" i="112"/>
  <c r="J90" i="112"/>
  <c r="J70" i="112"/>
  <c r="J60" i="112"/>
  <c r="J40" i="112"/>
  <c r="J95" i="112"/>
  <c r="J75" i="112"/>
  <c r="J25" i="112"/>
  <c r="J80" i="112"/>
  <c r="J65" i="112"/>
  <c r="J85" i="112"/>
  <c r="J115" i="112"/>
  <c r="N110" i="112"/>
  <c r="O85" i="112"/>
  <c r="G125" i="112"/>
  <c r="M59" i="63"/>
  <c r="AB59" i="63" s="1"/>
  <c r="G60" i="112"/>
  <c r="G70" i="112"/>
  <c r="G65" i="112"/>
  <c r="G120" i="112"/>
  <c r="G75" i="112"/>
  <c r="G90" i="112"/>
  <c r="G95" i="112"/>
  <c r="G105" i="112"/>
  <c r="G45" i="112"/>
  <c r="G80" i="112"/>
  <c r="AD109" i="112"/>
  <c r="AD134" i="112"/>
  <c r="G55" i="112"/>
  <c r="Y119" i="112"/>
  <c r="I119" i="112"/>
  <c r="I94" i="112"/>
  <c r="Y94" i="112"/>
  <c r="R57" i="112"/>
  <c r="R56" i="112"/>
  <c r="G50" i="112"/>
  <c r="G110" i="112"/>
  <c r="G25" i="112"/>
  <c r="G135" i="112"/>
  <c r="G100" i="112"/>
  <c r="G115" i="112"/>
  <c r="Y104" i="112"/>
  <c r="I104" i="112"/>
  <c r="Y44" i="112"/>
  <c r="I44" i="112"/>
  <c r="AD119" i="112"/>
  <c r="I79" i="112"/>
  <c r="Y79" i="112"/>
  <c r="G40" i="112"/>
  <c r="R102" i="112"/>
  <c r="R101" i="112"/>
  <c r="AD94" i="112"/>
  <c r="Y64" i="112"/>
  <c r="I64" i="112"/>
  <c r="AD69" i="112"/>
  <c r="I59" i="112"/>
  <c r="Y59" i="112"/>
  <c r="Y39" i="112"/>
  <c r="I39" i="112"/>
  <c r="Z39" i="112" s="1"/>
  <c r="Y74" i="112"/>
  <c r="I74" i="112"/>
  <c r="AD44" i="112"/>
  <c r="AD124" i="112"/>
  <c r="AD59" i="112"/>
  <c r="G130" i="112"/>
  <c r="AD104" i="112"/>
  <c r="R41" i="112"/>
  <c r="R42" i="112"/>
  <c r="Y69" i="112"/>
  <c r="I69" i="112"/>
  <c r="I124" i="112"/>
  <c r="Y124" i="112"/>
  <c r="AD89" i="112"/>
  <c r="AD64" i="112"/>
  <c r="G85" i="112"/>
  <c r="G30" i="112"/>
  <c r="G35" i="112"/>
  <c r="G20" i="112"/>
  <c r="N35" i="112"/>
  <c r="J110" i="112"/>
  <c r="T37" i="112"/>
  <c r="T36" i="112"/>
  <c r="AH36" i="112" s="1"/>
  <c r="T39" i="112"/>
  <c r="T38" i="112"/>
  <c r="T40" i="112"/>
  <c r="M29" i="112"/>
  <c r="AC29" i="112"/>
  <c r="N40" i="112"/>
  <c r="O25" i="112"/>
  <c r="T26" i="112"/>
  <c r="AH26" i="112" s="1"/>
  <c r="T29" i="112"/>
  <c r="T28" i="112"/>
  <c r="T30" i="112"/>
  <c r="T27" i="112"/>
  <c r="V21" i="112"/>
  <c r="V22" i="112"/>
  <c r="T21" i="112"/>
  <c r="AH21" i="112" s="1"/>
  <c r="T25" i="112"/>
  <c r="V23" i="112"/>
  <c r="T22" i="112"/>
  <c r="V25" i="112"/>
  <c r="T23" i="112"/>
  <c r="V24" i="112"/>
  <c r="T24" i="112"/>
  <c r="Y29" i="112"/>
  <c r="I29" i="112"/>
  <c r="I34" i="112"/>
  <c r="Y34" i="112"/>
  <c r="M19" i="112"/>
  <c r="AC19" i="112"/>
  <c r="Z114" i="112"/>
  <c r="T19" i="112"/>
  <c r="V17" i="112"/>
  <c r="V18" i="112"/>
  <c r="T20" i="112"/>
  <c r="V19" i="112"/>
  <c r="V16" i="112"/>
  <c r="V20" i="112"/>
  <c r="T18" i="112"/>
  <c r="T17" i="112"/>
  <c r="T16" i="112"/>
  <c r="AH16" i="112" s="1"/>
  <c r="T35" i="112"/>
  <c r="T34" i="112"/>
  <c r="T31" i="112"/>
  <c r="AH31" i="112" s="1"/>
  <c r="T33" i="112"/>
  <c r="T32" i="112"/>
  <c r="AC129" i="112"/>
  <c r="AD114" i="112"/>
  <c r="M34" i="112"/>
  <c r="AC34" i="112"/>
  <c r="I19" i="112"/>
  <c r="Y19" i="112"/>
  <c r="T52" i="112"/>
  <c r="T51" i="112"/>
  <c r="AH51" i="112" s="1"/>
  <c r="T54" i="112"/>
  <c r="V52" i="112"/>
  <c r="V53" i="112"/>
  <c r="T55" i="112"/>
  <c r="V54" i="112"/>
  <c r="V51" i="112"/>
  <c r="V55" i="112"/>
  <c r="T53" i="112"/>
  <c r="T130" i="112"/>
  <c r="V129" i="112"/>
  <c r="V128" i="112"/>
  <c r="V130" i="112"/>
  <c r="V126" i="112"/>
  <c r="T127" i="112"/>
  <c r="T126" i="112"/>
  <c r="AH126" i="112" s="1"/>
  <c r="T128" i="112"/>
  <c r="T129" i="112"/>
  <c r="V127" i="112"/>
  <c r="T84" i="112"/>
  <c r="V82" i="112"/>
  <c r="V83" i="112"/>
  <c r="T85" i="112"/>
  <c r="V84" i="112"/>
  <c r="V81" i="112"/>
  <c r="V85" i="112"/>
  <c r="T83" i="112"/>
  <c r="T82" i="112"/>
  <c r="T81" i="112"/>
  <c r="AH81" i="112" s="1"/>
  <c r="AC84" i="112"/>
  <c r="M84" i="112"/>
  <c r="Y129" i="112"/>
  <c r="L59" i="105"/>
  <c r="AC59" i="105" s="1"/>
  <c r="H124" i="63"/>
  <c r="V124" i="63"/>
  <c r="G125" i="63"/>
  <c r="L24" i="105"/>
  <c r="M24" i="105" s="1"/>
  <c r="AD24" i="105" s="1"/>
  <c r="H119" i="63"/>
  <c r="V119" i="63"/>
  <c r="G120" i="63"/>
  <c r="I59" i="63"/>
  <c r="W59" i="63"/>
  <c r="H60" i="63"/>
  <c r="H64" i="105"/>
  <c r="I64" i="105" s="1"/>
  <c r="Z64" i="105" s="1"/>
  <c r="H149" i="82"/>
  <c r="I149" i="82" s="1"/>
  <c r="A31" i="82"/>
  <c r="T32" i="82" s="1"/>
  <c r="Q21" i="82"/>
  <c r="AI21" i="82" s="1"/>
  <c r="A21" i="82"/>
  <c r="V21" i="82" s="1"/>
  <c r="Q36" i="82"/>
  <c r="AI36" i="82" s="1"/>
  <c r="A36" i="82"/>
  <c r="V36" i="82" s="1"/>
  <c r="M34" i="82"/>
  <c r="AD34" i="82" s="1"/>
  <c r="AA39" i="82"/>
  <c r="F25" i="82"/>
  <c r="AE39" i="82"/>
  <c r="X29" i="82"/>
  <c r="AE29" i="82"/>
  <c r="F20" i="82"/>
  <c r="H34" i="82"/>
  <c r="Y34" i="82" s="1"/>
  <c r="AF39" i="82"/>
  <c r="AA29" i="82"/>
  <c r="Q26" i="82"/>
  <c r="AI26" i="82" s="1"/>
  <c r="A26" i="82"/>
  <c r="T28" i="82" s="1"/>
  <c r="AF29" i="82"/>
  <c r="A16" i="82"/>
  <c r="T16" i="82" s="1"/>
  <c r="AH16" i="82" s="1"/>
  <c r="X39" i="105"/>
  <c r="F35" i="82"/>
  <c r="F30" i="82"/>
  <c r="AB49" i="106"/>
  <c r="M19" i="105"/>
  <c r="AD19" i="105" s="1"/>
  <c r="AC74" i="105"/>
  <c r="AC64" i="106"/>
  <c r="M49" i="105"/>
  <c r="AD49" i="105" s="1"/>
  <c r="M34" i="106"/>
  <c r="AD34" i="106" s="1"/>
  <c r="A66" i="62"/>
  <c r="S68" i="62" s="1"/>
  <c r="AB129" i="82"/>
  <c r="AC69" i="105"/>
  <c r="I109" i="63"/>
  <c r="X109" i="63" s="1"/>
  <c r="F75" i="105"/>
  <c r="M69" i="106"/>
  <c r="AD69" i="106" s="1"/>
  <c r="H39" i="106"/>
  <c r="Y39" i="106" s="1"/>
  <c r="H110" i="63"/>
  <c r="AC84" i="106"/>
  <c r="F65" i="105"/>
  <c r="AB69" i="105"/>
  <c r="F55" i="106"/>
  <c r="AC39" i="106"/>
  <c r="L79" i="82"/>
  <c r="M79" i="82" s="1"/>
  <c r="AD79" i="82" s="1"/>
  <c r="A26" i="105"/>
  <c r="V27" i="105" s="1"/>
  <c r="L44" i="105"/>
  <c r="AC44" i="105" s="1"/>
  <c r="F80" i="105"/>
  <c r="AB74" i="106"/>
  <c r="L74" i="106"/>
  <c r="Q66" i="105"/>
  <c r="AI66" i="105" s="1"/>
  <c r="AC24" i="106"/>
  <c r="A16" i="105"/>
  <c r="V19" i="105" s="1"/>
  <c r="F40" i="105"/>
  <c r="F20" i="105"/>
  <c r="L109" i="82"/>
  <c r="M109" i="82" s="1"/>
  <c r="AD109" i="82" s="1"/>
  <c r="A31" i="105"/>
  <c r="T33" i="105" s="1"/>
  <c r="L39" i="105"/>
  <c r="AC39" i="105" s="1"/>
  <c r="F35" i="105"/>
  <c r="F80" i="106"/>
  <c r="A21" i="105"/>
  <c r="V25" i="105" s="1"/>
  <c r="A71" i="106"/>
  <c r="V71" i="106" s="1"/>
  <c r="F55" i="105"/>
  <c r="A51" i="106"/>
  <c r="T54" i="106" s="1"/>
  <c r="F45" i="106"/>
  <c r="AB79" i="105"/>
  <c r="L79" i="105"/>
  <c r="Y54" i="105"/>
  <c r="I54" i="105"/>
  <c r="Z54" i="105" s="1"/>
  <c r="Y24" i="106"/>
  <c r="I24" i="106"/>
  <c r="Z24" i="106" s="1"/>
  <c r="H79" i="105"/>
  <c r="X79" i="105"/>
  <c r="X74" i="106"/>
  <c r="H74" i="106"/>
  <c r="Y29" i="106"/>
  <c r="I29" i="106"/>
  <c r="Z29" i="106" s="1"/>
  <c r="F30" i="105"/>
  <c r="F45" i="105"/>
  <c r="F30" i="106"/>
  <c r="Y59" i="105"/>
  <c r="I59" i="105"/>
  <c r="Z59" i="105" s="1"/>
  <c r="Y39" i="105"/>
  <c r="I39" i="105"/>
  <c r="Z39" i="105" s="1"/>
  <c r="F20" i="106"/>
  <c r="Y69" i="105"/>
  <c r="I69" i="105"/>
  <c r="Z69" i="105" s="1"/>
  <c r="Y34" i="106"/>
  <c r="I34" i="106"/>
  <c r="Z34" i="106" s="1"/>
  <c r="AB19" i="106"/>
  <c r="L19" i="106"/>
  <c r="M79" i="106"/>
  <c r="AD79" i="106" s="1"/>
  <c r="AC79" i="106"/>
  <c r="Y24" i="105"/>
  <c r="I24" i="105"/>
  <c r="Z24" i="105" s="1"/>
  <c r="H84" i="106"/>
  <c r="X84" i="106"/>
  <c r="X69" i="106"/>
  <c r="H69" i="106"/>
  <c r="Q56" i="106"/>
  <c r="AI56" i="106" s="1"/>
  <c r="A31" i="106"/>
  <c r="T31" i="106" s="1"/>
  <c r="AH31" i="106" s="1"/>
  <c r="X74" i="105"/>
  <c r="H74" i="105"/>
  <c r="F75" i="106"/>
  <c r="F25" i="106"/>
  <c r="F40" i="106"/>
  <c r="X79" i="106"/>
  <c r="H79" i="106"/>
  <c r="X79" i="82"/>
  <c r="I144" i="63"/>
  <c r="X144" i="63" s="1"/>
  <c r="AC44" i="106"/>
  <c r="M29" i="106"/>
  <c r="AD29" i="106" s="1"/>
  <c r="M54" i="105"/>
  <c r="AD54" i="105" s="1"/>
  <c r="A41" i="106"/>
  <c r="V44" i="106" s="1"/>
  <c r="A16" i="106"/>
  <c r="T17" i="106" s="1"/>
  <c r="F50" i="106"/>
  <c r="F60" i="105"/>
  <c r="F65" i="106"/>
  <c r="Y19" i="106"/>
  <c r="I19" i="106"/>
  <c r="Z19" i="106" s="1"/>
  <c r="F25" i="105"/>
  <c r="X49" i="105"/>
  <c r="H49" i="105"/>
  <c r="Y29" i="105"/>
  <c r="I29" i="105"/>
  <c r="Z29" i="105" s="1"/>
  <c r="X44" i="105"/>
  <c r="H44" i="105"/>
  <c r="F85" i="106"/>
  <c r="Y34" i="105"/>
  <c r="I34" i="105"/>
  <c r="Z34" i="105" s="1"/>
  <c r="F70" i="106"/>
  <c r="F60" i="106"/>
  <c r="H64" i="106"/>
  <c r="X64" i="106"/>
  <c r="F50" i="105"/>
  <c r="F35" i="106"/>
  <c r="Y59" i="106"/>
  <c r="I59" i="106"/>
  <c r="Z59" i="106" s="1"/>
  <c r="F70" i="105"/>
  <c r="Y49" i="106"/>
  <c r="I49" i="106"/>
  <c r="Z49" i="106" s="1"/>
  <c r="A66" i="106"/>
  <c r="V69" i="106" s="1"/>
  <c r="A81" i="106"/>
  <c r="T85" i="106" s="1"/>
  <c r="A36" i="106"/>
  <c r="V39" i="106" s="1"/>
  <c r="A61" i="106"/>
  <c r="T65" i="106" s="1"/>
  <c r="Q41" i="106"/>
  <c r="AI41" i="106" s="1"/>
  <c r="A56" i="106"/>
  <c r="T57" i="106" s="1"/>
  <c r="A26" i="106"/>
  <c r="T30" i="106" s="1"/>
  <c r="A46" i="106"/>
  <c r="V49" i="106" s="1"/>
  <c r="A76" i="106"/>
  <c r="T77" i="106" s="1"/>
  <c r="A21" i="106"/>
  <c r="T22" i="106" s="1"/>
  <c r="A91" i="62"/>
  <c r="S94" i="62" s="1"/>
  <c r="M34" i="105"/>
  <c r="AD34" i="105" s="1"/>
  <c r="AC64" i="105"/>
  <c r="AC49" i="106"/>
  <c r="M49" i="106"/>
  <c r="AD49" i="106" s="1"/>
  <c r="M29" i="105"/>
  <c r="AD29" i="105" s="1"/>
  <c r="AC29" i="105"/>
  <c r="M144" i="82"/>
  <c r="AD144" i="82" s="1"/>
  <c r="AC144" i="82"/>
  <c r="AD54" i="106"/>
  <c r="AC54" i="106"/>
  <c r="J75" i="106"/>
  <c r="J80" i="106"/>
  <c r="J80" i="105"/>
  <c r="J75" i="105"/>
  <c r="J70" i="106"/>
  <c r="J85" i="106"/>
  <c r="J60" i="106"/>
  <c r="J65" i="106"/>
  <c r="J35" i="105"/>
  <c r="J30" i="105"/>
  <c r="J40" i="105"/>
  <c r="J55" i="105"/>
  <c r="J20" i="105"/>
  <c r="J25" i="105"/>
  <c r="J60" i="105"/>
  <c r="J45" i="105"/>
  <c r="J65" i="105"/>
  <c r="J50" i="105"/>
  <c r="J70" i="105"/>
  <c r="J40" i="106"/>
  <c r="J50" i="106"/>
  <c r="J20" i="106"/>
  <c r="J30" i="106"/>
  <c r="J45" i="106"/>
  <c r="J35" i="106"/>
  <c r="J25" i="106"/>
  <c r="J55" i="106"/>
  <c r="O35" i="105"/>
  <c r="N35" i="106"/>
  <c r="N55" i="105"/>
  <c r="N85" i="106"/>
  <c r="N25" i="106"/>
  <c r="O70" i="105"/>
  <c r="N80" i="105"/>
  <c r="O20" i="105"/>
  <c r="AD64" i="106"/>
  <c r="T67" i="105"/>
  <c r="T69" i="105"/>
  <c r="T68" i="105"/>
  <c r="T66" i="105"/>
  <c r="AH66" i="105" s="1"/>
  <c r="T70" i="105"/>
  <c r="AD69" i="105"/>
  <c r="AD44" i="106"/>
  <c r="AD84" i="106"/>
  <c r="O80" i="106"/>
  <c r="T37" i="105"/>
  <c r="T40" i="105"/>
  <c r="T39" i="105"/>
  <c r="T36" i="105"/>
  <c r="AH36" i="105" s="1"/>
  <c r="T38" i="105"/>
  <c r="T64" i="105"/>
  <c r="T65" i="105"/>
  <c r="V61" i="105"/>
  <c r="V62" i="105"/>
  <c r="T63" i="105"/>
  <c r="V64" i="105"/>
  <c r="T61" i="105"/>
  <c r="AH61" i="105" s="1"/>
  <c r="V65" i="105"/>
  <c r="V63" i="105"/>
  <c r="T62" i="105"/>
  <c r="V75" i="105"/>
  <c r="V72" i="105"/>
  <c r="T73" i="105"/>
  <c r="V74" i="105"/>
  <c r="T75" i="105"/>
  <c r="V71" i="105"/>
  <c r="T74" i="105"/>
  <c r="V73" i="105"/>
  <c r="T72" i="105"/>
  <c r="T71" i="105"/>
  <c r="AH71" i="105" s="1"/>
  <c r="T79" i="105"/>
  <c r="T76" i="105"/>
  <c r="AH76" i="105" s="1"/>
  <c r="T78" i="105"/>
  <c r="T77" i="105"/>
  <c r="T80" i="105"/>
  <c r="O30" i="105"/>
  <c r="O45" i="105"/>
  <c r="O50" i="105"/>
  <c r="O25" i="106"/>
  <c r="O75" i="106"/>
  <c r="N20" i="105"/>
  <c r="N70" i="106"/>
  <c r="N20" i="106"/>
  <c r="O35" i="106"/>
  <c r="N25" i="105"/>
  <c r="O25" i="105"/>
  <c r="O40" i="106"/>
  <c r="N40" i="106"/>
  <c r="O75" i="105"/>
  <c r="O40" i="105"/>
  <c r="N40" i="105"/>
  <c r="O55" i="105"/>
  <c r="O80" i="105"/>
  <c r="AD59" i="106"/>
  <c r="AD64" i="105"/>
  <c r="AD39" i="106"/>
  <c r="AD74" i="105"/>
  <c r="AD24" i="106"/>
  <c r="V54" i="105"/>
  <c r="V53" i="105"/>
  <c r="T54" i="105"/>
  <c r="V55" i="105"/>
  <c r="T51" i="105"/>
  <c r="AH51" i="105" s="1"/>
  <c r="T52" i="105"/>
  <c r="T53" i="105"/>
  <c r="V52" i="105"/>
  <c r="V51" i="105"/>
  <c r="T55" i="105"/>
  <c r="AD59" i="105"/>
  <c r="N30" i="105"/>
  <c r="N45" i="105"/>
  <c r="T49" i="105"/>
  <c r="T47" i="105"/>
  <c r="T50" i="105"/>
  <c r="T48" i="105"/>
  <c r="T46" i="105"/>
  <c r="AH46" i="105" s="1"/>
  <c r="N80" i="106"/>
  <c r="T57" i="105"/>
  <c r="T56" i="105"/>
  <c r="AH56" i="105" s="1"/>
  <c r="T59" i="105"/>
  <c r="T58" i="105"/>
  <c r="T60" i="105"/>
  <c r="T45" i="105"/>
  <c r="T43" i="105"/>
  <c r="V41" i="105"/>
  <c r="V44" i="105"/>
  <c r="V42" i="105"/>
  <c r="T44" i="105"/>
  <c r="T42" i="105"/>
  <c r="V45" i="105"/>
  <c r="V43" i="105"/>
  <c r="T41" i="105"/>
  <c r="AH41" i="105" s="1"/>
  <c r="O65" i="106"/>
  <c r="O30" i="106"/>
  <c r="O20" i="106"/>
  <c r="N75" i="105"/>
  <c r="N65" i="106"/>
  <c r="N70" i="105"/>
  <c r="N35" i="105"/>
  <c r="N30" i="106"/>
  <c r="O85" i="106"/>
  <c r="N50" i="105"/>
  <c r="N75" i="106"/>
  <c r="O70" i="106"/>
  <c r="X34" i="82"/>
  <c r="H29" i="82"/>
  <c r="L84" i="62"/>
  <c r="AA84" i="62" s="1"/>
  <c r="M114" i="82"/>
  <c r="AD114" i="82" s="1"/>
  <c r="Z44" i="62"/>
  <c r="AC134" i="82"/>
  <c r="M119" i="82"/>
  <c r="AD119" i="82" s="1"/>
  <c r="H145" i="63"/>
  <c r="A41" i="62"/>
  <c r="S44" i="62" s="1"/>
  <c r="AC34" i="82"/>
  <c r="AB134" i="82"/>
  <c r="X134" i="82"/>
  <c r="L64" i="82"/>
  <c r="AB64" i="82"/>
  <c r="L39" i="82"/>
  <c r="AB39" i="82"/>
  <c r="AB59" i="82"/>
  <c r="L59" i="82"/>
  <c r="F90" i="82"/>
  <c r="F100" i="82"/>
  <c r="AE119" i="82"/>
  <c r="AA119" i="82"/>
  <c r="AA44" i="82"/>
  <c r="X114" i="82"/>
  <c r="X124" i="82"/>
  <c r="AF114" i="82"/>
  <c r="AA114" i="82"/>
  <c r="AE99" i="82"/>
  <c r="H24" i="82"/>
  <c r="M49" i="82"/>
  <c r="AD49" i="82" s="1"/>
  <c r="AE94" i="82"/>
  <c r="AF94" i="82"/>
  <c r="AE44" i="82"/>
  <c r="AA24" i="82"/>
  <c r="AB24" i="82"/>
  <c r="L94" i="82"/>
  <c r="M94" i="82" s="1"/>
  <c r="AA94" i="82"/>
  <c r="AB89" i="82"/>
  <c r="AF19" i="82"/>
  <c r="AD139" i="82"/>
  <c r="F105" i="82"/>
  <c r="F125" i="82"/>
  <c r="F150" i="82"/>
  <c r="F75" i="82"/>
  <c r="F70" i="82"/>
  <c r="F145" i="82"/>
  <c r="F55" i="82"/>
  <c r="F50" i="82"/>
  <c r="F120" i="82"/>
  <c r="F130" i="82"/>
  <c r="F80" i="82"/>
  <c r="F95" i="82"/>
  <c r="AF69" i="82"/>
  <c r="AE69" i="82"/>
  <c r="AA19" i="82"/>
  <c r="A51" i="82"/>
  <c r="T52" i="82" s="1"/>
  <c r="A81" i="82"/>
  <c r="A101" i="82"/>
  <c r="V103" i="82" s="1"/>
  <c r="AF44" i="82"/>
  <c r="AF109" i="82"/>
  <c r="AF124" i="82"/>
  <c r="AE124" i="82"/>
  <c r="X44" i="82"/>
  <c r="H19" i="82"/>
  <c r="AC44" i="82"/>
  <c r="AC124" i="82"/>
  <c r="AF99" i="82"/>
  <c r="AE114" i="82"/>
  <c r="H109" i="82"/>
  <c r="I109" i="82" s="1"/>
  <c r="AA109" i="82"/>
  <c r="H119" i="82"/>
  <c r="I119" i="82" s="1"/>
  <c r="AC29" i="82"/>
  <c r="H69" i="82"/>
  <c r="I69" i="82" s="1"/>
  <c r="AF24" i="82"/>
  <c r="AA99" i="82"/>
  <c r="L99" i="82"/>
  <c r="M99" i="82" s="1"/>
  <c r="H89" i="82"/>
  <c r="Y89" i="82" s="1"/>
  <c r="L69" i="82"/>
  <c r="M69" i="82" s="1"/>
  <c r="I39" i="82"/>
  <c r="I59" i="82"/>
  <c r="H74" i="82"/>
  <c r="Y74" i="82" s="1"/>
  <c r="I104" i="82"/>
  <c r="I84" i="82"/>
  <c r="H129" i="82"/>
  <c r="Y129" i="82" s="1"/>
  <c r="M129" i="82"/>
  <c r="M74" i="82"/>
  <c r="AD74" i="82" s="1"/>
  <c r="F85" i="82"/>
  <c r="F115" i="82"/>
  <c r="F45" i="82"/>
  <c r="F135" i="82"/>
  <c r="F65" i="82"/>
  <c r="F110" i="82"/>
  <c r="F140" i="82"/>
  <c r="F60" i="82"/>
  <c r="A81" i="62"/>
  <c r="S82" i="62" s="1"/>
  <c r="A46" i="63"/>
  <c r="S49" i="63" s="1"/>
  <c r="AB69" i="82"/>
  <c r="L89" i="82"/>
  <c r="M89" i="82" s="1"/>
  <c r="Y139" i="82"/>
  <c r="I139" i="82"/>
  <c r="X89" i="82"/>
  <c r="AB94" i="82"/>
  <c r="AB74" i="82"/>
  <c r="Q16" i="82"/>
  <c r="AI16" i="82" s="1"/>
  <c r="A136" i="82"/>
  <c r="A146" i="82"/>
  <c r="A141" i="82"/>
  <c r="A91" i="63"/>
  <c r="S92" i="63" s="1"/>
  <c r="Z44" i="63"/>
  <c r="L24" i="82"/>
  <c r="A41" i="63"/>
  <c r="S43" i="63" s="1"/>
  <c r="Z94" i="63"/>
  <c r="A81" i="63"/>
  <c r="S85" i="63" s="1"/>
  <c r="X24" i="82"/>
  <c r="A66" i="63"/>
  <c r="S67" i="63" s="1"/>
  <c r="X69" i="82"/>
  <c r="AB99" i="82"/>
  <c r="W49" i="62"/>
  <c r="M29" i="82"/>
  <c r="W44" i="62"/>
  <c r="I44" i="62"/>
  <c r="X44" i="62" s="1"/>
  <c r="L69" i="63"/>
  <c r="Z69" i="63"/>
  <c r="W94" i="63"/>
  <c r="I94" i="63"/>
  <c r="H95" i="63"/>
  <c r="V84" i="63"/>
  <c r="H84" i="63"/>
  <c r="G85" i="63"/>
  <c r="L84" i="63"/>
  <c r="Z84" i="63"/>
  <c r="V69" i="63"/>
  <c r="H69" i="63"/>
  <c r="G70" i="63"/>
  <c r="I44" i="63"/>
  <c r="W44" i="63"/>
  <c r="H45" i="63"/>
  <c r="AC49" i="82"/>
  <c r="H44" i="82"/>
  <c r="X64" i="82"/>
  <c r="X59" i="82"/>
  <c r="H124" i="82"/>
  <c r="AC74" i="82"/>
  <c r="X19" i="82"/>
  <c r="X39" i="82"/>
  <c r="Y84" i="82"/>
  <c r="X109" i="82"/>
  <c r="M124" i="82"/>
  <c r="X119" i="82"/>
  <c r="H114" i="82"/>
  <c r="AD54" i="82"/>
  <c r="M44" i="82"/>
  <c r="A111" i="82"/>
  <c r="A116" i="82"/>
  <c r="T118" i="82" s="1"/>
  <c r="L19" i="82"/>
  <c r="AB19" i="82"/>
  <c r="A106" i="82"/>
  <c r="V108" i="82" s="1"/>
  <c r="A131" i="82"/>
  <c r="A71" i="82"/>
  <c r="A61" i="82"/>
  <c r="A41" i="82"/>
  <c r="T42" i="82" s="1"/>
  <c r="A121" i="82"/>
  <c r="V121" i="82" s="1"/>
  <c r="A66" i="82"/>
  <c r="V69" i="82" s="1"/>
  <c r="A76" i="82"/>
  <c r="V78" i="82" s="1"/>
  <c r="A126" i="82"/>
  <c r="T130" i="82" s="1"/>
  <c r="A56" i="82"/>
  <c r="T58" i="82" s="1"/>
  <c r="A86" i="82"/>
  <c r="V88" i="82" s="1"/>
  <c r="A46" i="82"/>
  <c r="A96" i="82"/>
  <c r="T99" i="82" s="1"/>
  <c r="A91" i="82"/>
  <c r="T93" i="82" s="1"/>
  <c r="A46" i="62"/>
  <c r="S48" i="62" s="1"/>
  <c r="A131" i="62"/>
  <c r="S133" i="62" s="1"/>
  <c r="Z49" i="62"/>
  <c r="Y64" i="82"/>
  <c r="AD134" i="82"/>
  <c r="I79" i="82"/>
  <c r="Y79" i="82"/>
  <c r="Y94" i="82"/>
  <c r="I94" i="82"/>
  <c r="Y39" i="82"/>
  <c r="Y134" i="82"/>
  <c r="Y99" i="82"/>
  <c r="I99" i="82"/>
  <c r="AD104" i="82"/>
  <c r="Y59" i="82"/>
  <c r="I49" i="82"/>
  <c r="Y49" i="82"/>
  <c r="Y104" i="82"/>
  <c r="AD84" i="82"/>
  <c r="Y54" i="82"/>
  <c r="V129" i="63"/>
  <c r="A131" i="63"/>
  <c r="S134" i="63" s="1"/>
  <c r="Z49" i="63"/>
  <c r="G130" i="63"/>
  <c r="Z129" i="63"/>
  <c r="L129" i="63"/>
  <c r="V134" i="63"/>
  <c r="H134" i="63"/>
  <c r="G135" i="63"/>
  <c r="Z134" i="63"/>
  <c r="L134" i="63"/>
  <c r="I114" i="63"/>
  <c r="W114" i="63"/>
  <c r="H115" i="63"/>
  <c r="W129" i="63"/>
  <c r="I129" i="63"/>
  <c r="H130" i="63"/>
  <c r="I49" i="63"/>
  <c r="W49" i="63"/>
  <c r="H50" i="63"/>
  <c r="AA149" i="63"/>
  <c r="M149" i="63"/>
  <c r="AB149" i="63" s="1"/>
  <c r="M44" i="62"/>
  <c r="AB44" i="62" s="1"/>
  <c r="AA44" i="62"/>
  <c r="M44" i="63"/>
  <c r="AB44" i="63" s="1"/>
  <c r="AA44" i="63"/>
  <c r="M49" i="63"/>
  <c r="AB49" i="63" s="1"/>
  <c r="AA49" i="63"/>
  <c r="M144" i="63"/>
  <c r="AB144" i="63" s="1"/>
  <c r="AA144" i="63"/>
  <c r="M24" i="63"/>
  <c r="AB24" i="63" s="1"/>
  <c r="AA24" i="63"/>
  <c r="AA19" i="63"/>
  <c r="M19" i="63"/>
  <c r="AB19" i="63" s="1"/>
  <c r="M89" i="63"/>
  <c r="AB89" i="63" s="1"/>
  <c r="AA89" i="63"/>
  <c r="AA29" i="63"/>
  <c r="M29" i="63"/>
  <c r="AB29" i="63" s="1"/>
  <c r="AA54" i="63"/>
  <c r="M54" i="63"/>
  <c r="AB54" i="63" s="1"/>
  <c r="M39" i="63"/>
  <c r="AB39" i="63" s="1"/>
  <c r="AA39" i="63"/>
  <c r="M114" i="63"/>
  <c r="AB114" i="63" s="1"/>
  <c r="AA114" i="63"/>
  <c r="M94" i="63"/>
  <c r="AB94" i="63" s="1"/>
  <c r="AA94" i="63"/>
  <c r="M99" i="63"/>
  <c r="AB99" i="63" s="1"/>
  <c r="AA99" i="63"/>
  <c r="S20" i="63"/>
  <c r="S18" i="63"/>
  <c r="S16" i="63"/>
  <c r="S19" i="63"/>
  <c r="S17" i="63"/>
  <c r="S64" i="63"/>
  <c r="S62" i="63"/>
  <c r="S65" i="63"/>
  <c r="S63" i="63"/>
  <c r="S61" i="63"/>
  <c r="S145" i="63"/>
  <c r="S143" i="63"/>
  <c r="S141" i="63"/>
  <c r="S144" i="63"/>
  <c r="S142" i="63"/>
  <c r="S30" i="63"/>
  <c r="S27" i="63"/>
  <c r="S29" i="63"/>
  <c r="S28" i="63"/>
  <c r="S26" i="63"/>
  <c r="S89" i="63"/>
  <c r="S87" i="63"/>
  <c r="S90" i="63"/>
  <c r="S88" i="63"/>
  <c r="S86" i="63"/>
  <c r="S74" i="63"/>
  <c r="S72" i="63"/>
  <c r="S75" i="63"/>
  <c r="S73" i="63"/>
  <c r="S71" i="63"/>
  <c r="S34" i="63"/>
  <c r="S32" i="63"/>
  <c r="S35" i="63"/>
  <c r="S33" i="63"/>
  <c r="S31" i="63"/>
  <c r="S51" i="63"/>
  <c r="S154" i="63"/>
  <c r="S152" i="63"/>
  <c r="S155" i="63"/>
  <c r="S153" i="63"/>
  <c r="S151" i="63"/>
  <c r="S59" i="63"/>
  <c r="S57" i="63"/>
  <c r="S60" i="63"/>
  <c r="S58" i="63"/>
  <c r="S56" i="63"/>
  <c r="S124" i="63"/>
  <c r="S122" i="63"/>
  <c r="S125" i="63"/>
  <c r="S123" i="63"/>
  <c r="S121" i="63"/>
  <c r="N35" i="63"/>
  <c r="N130" i="63"/>
  <c r="N45" i="63"/>
  <c r="N65" i="63"/>
  <c r="N100" i="63"/>
  <c r="N70" i="63"/>
  <c r="N135" i="63"/>
  <c r="N20" i="63"/>
  <c r="N60" i="63"/>
  <c r="N95" i="63"/>
  <c r="N155" i="63"/>
  <c r="N145" i="63"/>
  <c r="N25" i="63"/>
  <c r="N80" i="63"/>
  <c r="N125" i="63"/>
  <c r="N150" i="63"/>
  <c r="N55" i="63"/>
  <c r="N90" i="63"/>
  <c r="N40" i="63"/>
  <c r="N140" i="63"/>
  <c r="N50" i="63"/>
  <c r="N85" i="63"/>
  <c r="N105" i="63"/>
  <c r="N115" i="63"/>
  <c r="N75" i="63"/>
  <c r="N30" i="63"/>
  <c r="K155" i="63"/>
  <c r="K45" i="63"/>
  <c r="K95" i="63"/>
  <c r="K60" i="63"/>
  <c r="K30" i="63"/>
  <c r="K80" i="63"/>
  <c r="K75" i="63"/>
  <c r="K105" i="63"/>
  <c r="K25" i="63"/>
  <c r="K115" i="63"/>
  <c r="K150" i="63"/>
  <c r="K100" i="63"/>
  <c r="K125" i="63"/>
  <c r="K135" i="63"/>
  <c r="K65" i="63"/>
  <c r="K35" i="63"/>
  <c r="K140" i="63"/>
  <c r="K40" i="63"/>
  <c r="K55" i="63"/>
  <c r="K85" i="63"/>
  <c r="K50" i="63"/>
  <c r="K20" i="63"/>
  <c r="K130" i="63"/>
  <c r="K90" i="63"/>
  <c r="K145" i="63"/>
  <c r="K70" i="63"/>
  <c r="O55" i="63"/>
  <c r="O65" i="63"/>
  <c r="O45" i="63"/>
  <c r="O140" i="63"/>
  <c r="O95" i="63"/>
  <c r="O135" i="63"/>
  <c r="O115" i="63"/>
  <c r="O30" i="63"/>
  <c r="O50" i="63"/>
  <c r="O75" i="63"/>
  <c r="O100" i="63"/>
  <c r="O155" i="63"/>
  <c r="O25" i="63"/>
  <c r="O80" i="63"/>
  <c r="O150" i="63"/>
  <c r="O85" i="63"/>
  <c r="O105" i="63"/>
  <c r="O125" i="63"/>
  <c r="O120" i="63"/>
  <c r="O40" i="63"/>
  <c r="O70" i="63"/>
  <c r="O60" i="63"/>
  <c r="O35" i="63"/>
  <c r="O90" i="63"/>
  <c r="O130" i="63"/>
  <c r="O145" i="63"/>
  <c r="O20" i="63"/>
  <c r="S150" i="63"/>
  <c r="S148" i="63"/>
  <c r="S146" i="63"/>
  <c r="S149" i="63"/>
  <c r="S147" i="63"/>
  <c r="S104" i="63"/>
  <c r="S102" i="63"/>
  <c r="S105" i="63"/>
  <c r="S103" i="63"/>
  <c r="S101" i="63"/>
  <c r="S40" i="63"/>
  <c r="S38" i="63"/>
  <c r="S36" i="63"/>
  <c r="S39" i="63"/>
  <c r="S37" i="63"/>
  <c r="S109" i="63"/>
  <c r="S107" i="63"/>
  <c r="S110" i="63"/>
  <c r="S108" i="63"/>
  <c r="S106" i="63"/>
  <c r="S140" i="63"/>
  <c r="S138" i="63"/>
  <c r="S136" i="63"/>
  <c r="S139" i="63"/>
  <c r="S137" i="63"/>
  <c r="S114" i="63"/>
  <c r="S112" i="63"/>
  <c r="S115" i="63"/>
  <c r="S113" i="63"/>
  <c r="S111" i="63"/>
  <c r="S24" i="63"/>
  <c r="S22" i="63"/>
  <c r="S25" i="63"/>
  <c r="S23" i="63"/>
  <c r="S21" i="63"/>
  <c r="S100" i="63"/>
  <c r="S98" i="63"/>
  <c r="S96" i="63"/>
  <c r="S99" i="63"/>
  <c r="S97" i="63"/>
  <c r="S130" i="63"/>
  <c r="S128" i="63"/>
  <c r="S126" i="63"/>
  <c r="S129" i="63"/>
  <c r="S127" i="63"/>
  <c r="K110" i="63"/>
  <c r="AA109" i="63"/>
  <c r="M109" i="63"/>
  <c r="J85" i="63"/>
  <c r="J115" i="63"/>
  <c r="J125" i="63"/>
  <c r="J145" i="63"/>
  <c r="J50" i="63"/>
  <c r="J150" i="63"/>
  <c r="J70" i="63"/>
  <c r="J35" i="63"/>
  <c r="J25" i="63"/>
  <c r="J90" i="63"/>
  <c r="J65" i="63"/>
  <c r="J105" i="63"/>
  <c r="J40" i="63"/>
  <c r="J135" i="63"/>
  <c r="J155" i="63"/>
  <c r="J20" i="63"/>
  <c r="J45" i="63"/>
  <c r="J80" i="63"/>
  <c r="J75" i="63"/>
  <c r="J100" i="63"/>
  <c r="J140" i="63"/>
  <c r="J30" i="63"/>
  <c r="J95" i="63"/>
  <c r="J60" i="63"/>
  <c r="J130" i="63"/>
  <c r="J55" i="63"/>
  <c r="M89" i="62"/>
  <c r="AB89" i="62" s="1"/>
  <c r="AA89" i="62"/>
  <c r="AA49" i="62"/>
  <c r="M49" i="62"/>
  <c r="AB49" i="62" s="1"/>
  <c r="I84" i="62"/>
  <c r="X84" i="62" s="1"/>
  <c r="X49" i="62"/>
  <c r="AA154" i="62"/>
  <c r="S65" i="62"/>
  <c r="S63" i="62"/>
  <c r="S61" i="62"/>
  <c r="S64" i="62"/>
  <c r="S62" i="62"/>
  <c r="S25" i="62"/>
  <c r="S23" i="62"/>
  <c r="S21" i="62"/>
  <c r="S24" i="62"/>
  <c r="S22" i="62"/>
  <c r="S150" i="62"/>
  <c r="S146" i="62"/>
  <c r="S149" i="62"/>
  <c r="S147" i="62"/>
  <c r="S148" i="62"/>
  <c r="S79" i="62"/>
  <c r="S77" i="62"/>
  <c r="S80" i="62"/>
  <c r="S78" i="62"/>
  <c r="S76" i="62"/>
  <c r="S30" i="62"/>
  <c r="S28" i="62"/>
  <c r="S26" i="62"/>
  <c r="S29" i="62"/>
  <c r="S27" i="62"/>
  <c r="S74" i="62"/>
  <c r="S72" i="62"/>
  <c r="S75" i="62"/>
  <c r="S73" i="62"/>
  <c r="S71" i="62"/>
  <c r="S139" i="62"/>
  <c r="S137" i="62"/>
  <c r="S140" i="62"/>
  <c r="S138" i="62"/>
  <c r="S136" i="62"/>
  <c r="S39" i="62"/>
  <c r="S37" i="62"/>
  <c r="S40" i="62"/>
  <c r="S38" i="62"/>
  <c r="S36" i="62"/>
  <c r="S129" i="62"/>
  <c r="S127" i="62"/>
  <c r="S130" i="62"/>
  <c r="S128" i="62"/>
  <c r="S126" i="62"/>
  <c r="V154" i="62"/>
  <c r="S114" i="62"/>
  <c r="S112" i="62"/>
  <c r="S115" i="62"/>
  <c r="S113" i="62"/>
  <c r="S111" i="62"/>
  <c r="S52" i="62"/>
  <c r="S55" i="62"/>
  <c r="S53" i="62"/>
  <c r="S51" i="62"/>
  <c r="S54" i="62"/>
  <c r="S125" i="62"/>
  <c r="S123" i="62"/>
  <c r="S121" i="62"/>
  <c r="S124" i="62"/>
  <c r="S122" i="62"/>
  <c r="S110" i="62"/>
  <c r="S108" i="62"/>
  <c r="S106" i="62"/>
  <c r="S109" i="62"/>
  <c r="S107" i="62"/>
  <c r="S89" i="62"/>
  <c r="S87" i="62"/>
  <c r="S90" i="62"/>
  <c r="S88" i="62"/>
  <c r="S86" i="62"/>
  <c r="S35" i="62"/>
  <c r="S33" i="62"/>
  <c r="S31" i="62"/>
  <c r="S34" i="62"/>
  <c r="S32" i="62"/>
  <c r="S20" i="62"/>
  <c r="S18" i="62"/>
  <c r="S16" i="62"/>
  <c r="S19" i="62"/>
  <c r="S17" i="62"/>
  <c r="S60" i="62"/>
  <c r="S58" i="62"/>
  <c r="S56" i="62"/>
  <c r="S59" i="62"/>
  <c r="S57" i="62"/>
  <c r="S105" i="62"/>
  <c r="S103" i="62"/>
  <c r="S101" i="62"/>
  <c r="S104" i="62"/>
  <c r="S102" i="62"/>
  <c r="S99" i="62"/>
  <c r="S97" i="62"/>
  <c r="S100" i="62"/>
  <c r="S98" i="62"/>
  <c r="S96" i="62"/>
  <c r="S142" i="62"/>
  <c r="S145" i="62"/>
  <c r="S143" i="62"/>
  <c r="S141" i="62"/>
  <c r="S144" i="62"/>
  <c r="S54" i="63" l="1"/>
  <c r="S52" i="63"/>
  <c r="S55" i="63"/>
  <c r="Y89" i="112"/>
  <c r="AC24" i="112"/>
  <c r="R77" i="112"/>
  <c r="M79" i="112"/>
  <c r="AD79" i="112" s="1"/>
  <c r="AC79" i="112"/>
  <c r="AA74" i="63"/>
  <c r="M74" i="63"/>
  <c r="AB74" i="63" s="1"/>
  <c r="I74" i="63"/>
  <c r="W74" i="63"/>
  <c r="H75" i="63"/>
  <c r="I65" i="63"/>
  <c r="X64" i="63"/>
  <c r="I53" i="113"/>
  <c r="L53" i="113"/>
  <c r="AD17" i="113"/>
  <c r="M58" i="113" s="1"/>
  <c r="I18" i="113"/>
  <c r="L65" i="114"/>
  <c r="L18" i="113"/>
  <c r="AD52" i="113"/>
  <c r="L90" i="114"/>
  <c r="L40" i="114"/>
  <c r="L85" i="114"/>
  <c r="AD32" i="113"/>
  <c r="Z32" i="113"/>
  <c r="I33" i="113"/>
  <c r="AD64" i="114"/>
  <c r="Z19" i="114"/>
  <c r="AD19" i="114"/>
  <c r="M65" i="114" s="1"/>
  <c r="M20" i="114"/>
  <c r="L110" i="114"/>
  <c r="L100" i="114"/>
  <c r="L120" i="114"/>
  <c r="Z64" i="114"/>
  <c r="Y54" i="112"/>
  <c r="S80" i="63"/>
  <c r="G85" i="114"/>
  <c r="G90" i="114"/>
  <c r="G40" i="114"/>
  <c r="G20" i="114"/>
  <c r="G65" i="114"/>
  <c r="G55" i="114"/>
  <c r="AD27" i="113"/>
  <c r="AD54" i="114"/>
  <c r="M54" i="112"/>
  <c r="AD54" i="112" s="1"/>
  <c r="M35" i="114"/>
  <c r="AD34" i="114"/>
  <c r="I84" i="112"/>
  <c r="Z84" i="112" s="1"/>
  <c r="S77" i="63"/>
  <c r="S76" i="63"/>
  <c r="S78" i="63"/>
  <c r="AA79" i="63"/>
  <c r="M79" i="63"/>
  <c r="AB79" i="63" s="1"/>
  <c r="I24" i="114"/>
  <c r="Y24" i="114"/>
  <c r="H25" i="114" s="1"/>
  <c r="I74" i="114"/>
  <c r="Y74" i="114"/>
  <c r="H75" i="114"/>
  <c r="AC74" i="112"/>
  <c r="M74" i="112"/>
  <c r="AD74" i="112" s="1"/>
  <c r="Y24" i="112"/>
  <c r="I24" i="112"/>
  <c r="Z24" i="112" s="1"/>
  <c r="I42" i="113"/>
  <c r="Y42" i="113"/>
  <c r="H43" i="113"/>
  <c r="AC74" i="114"/>
  <c r="M74" i="114"/>
  <c r="L75" i="114"/>
  <c r="AC24" i="114"/>
  <c r="M24" i="114"/>
  <c r="L25" i="114"/>
  <c r="AC42" i="113"/>
  <c r="M42" i="113"/>
  <c r="L43" i="113"/>
  <c r="R40" i="113"/>
  <c r="R39" i="113"/>
  <c r="R71" i="114"/>
  <c r="R72" i="114"/>
  <c r="R21" i="114"/>
  <c r="R22" i="114"/>
  <c r="R72" i="112"/>
  <c r="R71" i="112"/>
  <c r="X34" i="63"/>
  <c r="I35" i="63"/>
  <c r="I79" i="63"/>
  <c r="W79" i="63"/>
  <c r="H80" i="63"/>
  <c r="X54" i="63"/>
  <c r="I55" i="63"/>
  <c r="L110" i="112"/>
  <c r="L120" i="112"/>
  <c r="O100" i="112"/>
  <c r="L100" i="112"/>
  <c r="O110" i="112"/>
  <c r="O35" i="112"/>
  <c r="O40" i="112"/>
  <c r="O105" i="112"/>
  <c r="O50" i="112"/>
  <c r="O75" i="112"/>
  <c r="O95" i="112"/>
  <c r="O20" i="112"/>
  <c r="O45" i="112"/>
  <c r="O90" i="112"/>
  <c r="O65" i="112"/>
  <c r="O80" i="112"/>
  <c r="O60" i="112"/>
  <c r="L55" i="112"/>
  <c r="L20" i="112"/>
  <c r="L80" i="112"/>
  <c r="L75" i="112"/>
  <c r="L105" i="112"/>
  <c r="L65" i="112"/>
  <c r="L45" i="112"/>
  <c r="L70" i="112"/>
  <c r="L40" i="112"/>
  <c r="L60" i="112"/>
  <c r="L95" i="112"/>
  <c r="L90" i="112"/>
  <c r="L50" i="112"/>
  <c r="L35" i="112"/>
  <c r="L85" i="112"/>
  <c r="L30" i="112"/>
  <c r="L25" i="112"/>
  <c r="L115" i="112"/>
  <c r="Z29" i="112"/>
  <c r="H25" i="112"/>
  <c r="H100" i="112"/>
  <c r="H125" i="112"/>
  <c r="H85" i="112"/>
  <c r="H55" i="112"/>
  <c r="H120" i="112"/>
  <c r="H90" i="112"/>
  <c r="H105" i="112"/>
  <c r="H30" i="112"/>
  <c r="H95" i="112"/>
  <c r="H70" i="112"/>
  <c r="H80" i="112"/>
  <c r="H45" i="112"/>
  <c r="H60" i="112"/>
  <c r="H75" i="112"/>
  <c r="H65" i="112"/>
  <c r="Z79" i="112"/>
  <c r="Z59" i="112"/>
  <c r="Z89" i="112"/>
  <c r="Z64" i="112"/>
  <c r="Z119" i="112"/>
  <c r="Z124" i="112"/>
  <c r="Z69" i="112"/>
  <c r="Z74" i="112"/>
  <c r="Z44" i="112"/>
  <c r="Z104" i="112"/>
  <c r="Z94" i="112"/>
  <c r="H130" i="112"/>
  <c r="R27" i="112"/>
  <c r="R26" i="112"/>
  <c r="R21" i="112"/>
  <c r="R22" i="112"/>
  <c r="AD29" i="112"/>
  <c r="R36" i="112"/>
  <c r="R37" i="112"/>
  <c r="R81" i="112"/>
  <c r="R82" i="112"/>
  <c r="Z54" i="112"/>
  <c r="R16" i="112"/>
  <c r="R17" i="112"/>
  <c r="Z129" i="112"/>
  <c r="H40" i="112"/>
  <c r="H50" i="112"/>
  <c r="H110" i="112"/>
  <c r="H135" i="112"/>
  <c r="H115" i="112"/>
  <c r="H20" i="112"/>
  <c r="H35" i="112"/>
  <c r="AD34" i="112"/>
  <c r="AD84" i="112"/>
  <c r="R51" i="112"/>
  <c r="R52" i="112"/>
  <c r="Z19" i="112"/>
  <c r="AD129" i="112"/>
  <c r="R31" i="112"/>
  <c r="R32" i="112"/>
  <c r="AD19" i="112"/>
  <c r="Z34" i="112"/>
  <c r="I124" i="63"/>
  <c r="W124" i="63"/>
  <c r="H125" i="63"/>
  <c r="I34" i="82"/>
  <c r="Z34" i="82" s="1"/>
  <c r="AC24" i="105"/>
  <c r="W119" i="63"/>
  <c r="I119" i="63"/>
  <c r="H120" i="63"/>
  <c r="X59" i="63"/>
  <c r="I60" i="63"/>
  <c r="Y64" i="105"/>
  <c r="S69" i="62"/>
  <c r="N25" i="82"/>
  <c r="Y149" i="82"/>
  <c r="K25" i="82"/>
  <c r="J35" i="82"/>
  <c r="O20" i="82"/>
  <c r="N20" i="82"/>
  <c r="G30" i="82"/>
  <c r="N35" i="82"/>
  <c r="Y19" i="82"/>
  <c r="G20" i="82"/>
  <c r="G25" i="82"/>
  <c r="J40" i="82"/>
  <c r="Y24" i="82"/>
  <c r="O40" i="82"/>
  <c r="J25" i="82"/>
  <c r="I29" i="82"/>
  <c r="Z29" i="82" s="1"/>
  <c r="G40" i="82"/>
  <c r="N30" i="82"/>
  <c r="N40" i="82"/>
  <c r="J20" i="82"/>
  <c r="K30" i="82"/>
  <c r="K35" i="82"/>
  <c r="O35" i="82"/>
  <c r="O25" i="82"/>
  <c r="O30" i="82"/>
  <c r="J30" i="82"/>
  <c r="G35" i="82"/>
  <c r="K40" i="82"/>
  <c r="K20" i="82"/>
  <c r="K75" i="106"/>
  <c r="V19" i="106"/>
  <c r="I110" i="63"/>
  <c r="S66" i="62"/>
  <c r="I39" i="106"/>
  <c r="Z39" i="106" s="1"/>
  <c r="T52" i="106"/>
  <c r="T49" i="106"/>
  <c r="T74" i="106"/>
  <c r="T53" i="106"/>
  <c r="V55" i="106"/>
  <c r="K40" i="105"/>
  <c r="T37" i="106"/>
  <c r="T48" i="106"/>
  <c r="T63" i="106"/>
  <c r="V47" i="106"/>
  <c r="K35" i="106"/>
  <c r="V34" i="105"/>
  <c r="S70" i="62"/>
  <c r="T45" i="106"/>
  <c r="T81" i="106"/>
  <c r="AH81" i="106" s="1"/>
  <c r="R82" i="106" s="1"/>
  <c r="T26" i="105"/>
  <c r="AH26" i="105" s="1"/>
  <c r="R27" i="105" s="1"/>
  <c r="V58" i="106"/>
  <c r="V25" i="106"/>
  <c r="V18" i="106"/>
  <c r="S67" i="62"/>
  <c r="V67" i="106"/>
  <c r="V51" i="106"/>
  <c r="V54" i="106"/>
  <c r="V53" i="106"/>
  <c r="T39" i="106"/>
  <c r="T29" i="106"/>
  <c r="V52" i="106"/>
  <c r="K75" i="105"/>
  <c r="T51" i="106"/>
  <c r="AH51" i="106" s="1"/>
  <c r="R52" i="106" s="1"/>
  <c r="S93" i="62"/>
  <c r="T55" i="106"/>
  <c r="T66" i="106"/>
  <c r="AH66" i="106" s="1"/>
  <c r="R67" i="106" s="1"/>
  <c r="V16" i="105"/>
  <c r="T71" i="106"/>
  <c r="AH71" i="106" s="1"/>
  <c r="R72" i="106" s="1"/>
  <c r="V76" i="106"/>
  <c r="T33" i="106"/>
  <c r="V66" i="106"/>
  <c r="T73" i="106"/>
  <c r="V78" i="106"/>
  <c r="V43" i="106"/>
  <c r="K50" i="105"/>
  <c r="Y29" i="82"/>
  <c r="V18" i="105"/>
  <c r="T28" i="105"/>
  <c r="K30" i="105"/>
  <c r="T30" i="105"/>
  <c r="T34" i="106"/>
  <c r="K35" i="105"/>
  <c r="K65" i="106"/>
  <c r="K80" i="105"/>
  <c r="T69" i="106"/>
  <c r="T68" i="106"/>
  <c r="T17" i="105"/>
  <c r="V17" i="105"/>
  <c r="V20" i="105"/>
  <c r="V75" i="106"/>
  <c r="V74" i="106"/>
  <c r="T75" i="106"/>
  <c r="V79" i="106"/>
  <c r="T76" i="106"/>
  <c r="AH76" i="106" s="1"/>
  <c r="R77" i="106" s="1"/>
  <c r="T79" i="106"/>
  <c r="T50" i="106"/>
  <c r="T41" i="106"/>
  <c r="AH41" i="106" s="1"/>
  <c r="R42" i="106" s="1"/>
  <c r="T43" i="106"/>
  <c r="V33" i="105"/>
  <c r="T21" i="105"/>
  <c r="AH21" i="105" s="1"/>
  <c r="R21" i="105" s="1"/>
  <c r="T29" i="105"/>
  <c r="V26" i="105"/>
  <c r="V29" i="105"/>
  <c r="T32" i="106"/>
  <c r="K55" i="106"/>
  <c r="K45" i="105"/>
  <c r="K20" i="105"/>
  <c r="K85" i="106"/>
  <c r="AC79" i="82"/>
  <c r="T67" i="106"/>
  <c r="T70" i="106"/>
  <c r="V70" i="106"/>
  <c r="T19" i="105"/>
  <c r="T20" i="105"/>
  <c r="T72" i="106"/>
  <c r="V72" i="106"/>
  <c r="T78" i="106"/>
  <c r="V80" i="106"/>
  <c r="T42" i="106"/>
  <c r="V45" i="106"/>
  <c r="V42" i="106"/>
  <c r="V28" i="105"/>
  <c r="K65" i="105"/>
  <c r="K60" i="105"/>
  <c r="V68" i="106"/>
  <c r="T16" i="105"/>
  <c r="AH16" i="105" s="1"/>
  <c r="R16" i="105" s="1"/>
  <c r="T18" i="105"/>
  <c r="V73" i="106"/>
  <c r="V77" i="106"/>
  <c r="T80" i="106"/>
  <c r="V50" i="106"/>
  <c r="T44" i="106"/>
  <c r="V41" i="106"/>
  <c r="T64" i="106"/>
  <c r="V21" i="105"/>
  <c r="T27" i="105"/>
  <c r="V30" i="105"/>
  <c r="T35" i="106"/>
  <c r="K70" i="105"/>
  <c r="K55" i="105"/>
  <c r="K25" i="105"/>
  <c r="M39" i="105"/>
  <c r="AD39" i="105" s="1"/>
  <c r="V60" i="106"/>
  <c r="T82" i="106"/>
  <c r="T21" i="106"/>
  <c r="AH21" i="106" s="1"/>
  <c r="R22" i="106" s="1"/>
  <c r="T16" i="106"/>
  <c r="AH16" i="106" s="1"/>
  <c r="R17" i="106" s="1"/>
  <c r="K25" i="106"/>
  <c r="K45" i="106"/>
  <c r="K70" i="106"/>
  <c r="K80" i="106"/>
  <c r="M74" i="106"/>
  <c r="AD74" i="106" s="1"/>
  <c r="AC74" i="106"/>
  <c r="I145" i="63"/>
  <c r="AC109" i="82"/>
  <c r="V59" i="106"/>
  <c r="T60" i="106"/>
  <c r="T83" i="106"/>
  <c r="V24" i="106"/>
  <c r="T24" i="106"/>
  <c r="V16" i="106"/>
  <c r="V20" i="106"/>
  <c r="K20" i="106"/>
  <c r="K30" i="106"/>
  <c r="K60" i="106"/>
  <c r="M44" i="105"/>
  <c r="AD44" i="105" s="1"/>
  <c r="V57" i="106"/>
  <c r="T23" i="106"/>
  <c r="T18" i="106"/>
  <c r="T19" i="106"/>
  <c r="K50" i="106"/>
  <c r="K40" i="106"/>
  <c r="G20" i="105"/>
  <c r="T28" i="106"/>
  <c r="T31" i="105"/>
  <c r="AH31" i="105" s="1"/>
  <c r="R31" i="105" s="1"/>
  <c r="V31" i="105"/>
  <c r="T34" i="105"/>
  <c r="T23" i="105"/>
  <c r="V23" i="105"/>
  <c r="V24" i="105"/>
  <c r="V36" i="106"/>
  <c r="T36" i="106"/>
  <c r="AH36" i="106" s="1"/>
  <c r="T40" i="106"/>
  <c r="AC79" i="105"/>
  <c r="L70" i="105" s="1"/>
  <c r="M79" i="105"/>
  <c r="AD79" i="105" s="1"/>
  <c r="T26" i="106"/>
  <c r="AH26" i="106" s="1"/>
  <c r="R27" i="106" s="1"/>
  <c r="T32" i="105"/>
  <c r="T35" i="105"/>
  <c r="T25" i="105"/>
  <c r="T22" i="105"/>
  <c r="T38" i="106"/>
  <c r="V38" i="106"/>
  <c r="G25" i="105"/>
  <c r="T27" i="106"/>
  <c r="V35" i="105"/>
  <c r="V32" i="105"/>
  <c r="V22" i="105"/>
  <c r="T24" i="105"/>
  <c r="V37" i="106"/>
  <c r="V40" i="106"/>
  <c r="G40" i="106"/>
  <c r="Y44" i="105"/>
  <c r="I44" i="105"/>
  <c r="G80" i="106"/>
  <c r="G25" i="106"/>
  <c r="G75" i="105"/>
  <c r="G85" i="106"/>
  <c r="G30" i="106"/>
  <c r="G35" i="105"/>
  <c r="G30" i="105"/>
  <c r="Y74" i="106"/>
  <c r="I74" i="106"/>
  <c r="Y69" i="82"/>
  <c r="G50" i="106"/>
  <c r="Y64" i="106"/>
  <c r="I64" i="106"/>
  <c r="G65" i="105"/>
  <c r="G55" i="105"/>
  <c r="Y79" i="106"/>
  <c r="I79" i="106"/>
  <c r="Y74" i="105"/>
  <c r="I74" i="105"/>
  <c r="G45" i="106"/>
  <c r="M19" i="106"/>
  <c r="AD19" i="106" s="1"/>
  <c r="M25" i="106" s="1"/>
  <c r="AC19" i="106"/>
  <c r="L85" i="106" s="1"/>
  <c r="G80" i="105"/>
  <c r="G70" i="105"/>
  <c r="G40" i="105"/>
  <c r="G50" i="105"/>
  <c r="G35" i="106"/>
  <c r="G70" i="106"/>
  <c r="Y84" i="106"/>
  <c r="I84" i="106"/>
  <c r="G55" i="106"/>
  <c r="G20" i="106"/>
  <c r="V17" i="106"/>
  <c r="T20" i="106"/>
  <c r="G65" i="106"/>
  <c r="G45" i="105"/>
  <c r="Y49" i="105"/>
  <c r="I49" i="105"/>
  <c r="G60" i="106"/>
  <c r="Y69" i="106"/>
  <c r="I69" i="106"/>
  <c r="G75" i="106"/>
  <c r="Y79" i="105"/>
  <c r="I79" i="105"/>
  <c r="G60" i="105"/>
  <c r="V46" i="106"/>
  <c r="V48" i="106"/>
  <c r="T46" i="106"/>
  <c r="AH46" i="106" s="1"/>
  <c r="R47" i="106" s="1"/>
  <c r="T47" i="106"/>
  <c r="T58" i="106"/>
  <c r="V56" i="106"/>
  <c r="T56" i="106"/>
  <c r="AH56" i="106" s="1"/>
  <c r="R57" i="106" s="1"/>
  <c r="T59" i="106"/>
  <c r="T62" i="106"/>
  <c r="T61" i="106"/>
  <c r="AH61" i="106" s="1"/>
  <c r="R62" i="106" s="1"/>
  <c r="T84" i="106"/>
  <c r="V22" i="106"/>
  <c r="V21" i="106"/>
  <c r="T25" i="106"/>
  <c r="V23" i="106"/>
  <c r="S92" i="62"/>
  <c r="S91" i="62"/>
  <c r="S95" i="62"/>
  <c r="L35" i="106"/>
  <c r="L45" i="105"/>
  <c r="S42" i="62"/>
  <c r="M84" i="62"/>
  <c r="AB84" i="62" s="1"/>
  <c r="S84" i="62"/>
  <c r="S43" i="62"/>
  <c r="R56" i="105"/>
  <c r="R57" i="105"/>
  <c r="R77" i="105"/>
  <c r="R76" i="105"/>
  <c r="R62" i="105"/>
  <c r="R61" i="105"/>
  <c r="R32" i="106"/>
  <c r="M50" i="106"/>
  <c r="R42" i="105"/>
  <c r="R41" i="105"/>
  <c r="R46" i="105"/>
  <c r="R47" i="105"/>
  <c r="R52" i="105"/>
  <c r="R51" i="105"/>
  <c r="R71" i="105"/>
  <c r="R72" i="105"/>
  <c r="R37" i="105"/>
  <c r="R36" i="105"/>
  <c r="R67" i="105"/>
  <c r="R66" i="105"/>
  <c r="V64" i="82"/>
  <c r="V62" i="82"/>
  <c r="V65" i="82"/>
  <c r="V63" i="82"/>
  <c r="V61" i="82"/>
  <c r="T133" i="82"/>
  <c r="V134" i="82"/>
  <c r="V132" i="82"/>
  <c r="V135" i="82"/>
  <c r="V133" i="82"/>
  <c r="V131" i="82"/>
  <c r="V150" i="82"/>
  <c r="V148" i="82"/>
  <c r="V146" i="82"/>
  <c r="V149" i="82"/>
  <c r="V147" i="82"/>
  <c r="V55" i="82"/>
  <c r="V53" i="82"/>
  <c r="V51" i="82"/>
  <c r="V54" i="82"/>
  <c r="V52" i="82"/>
  <c r="T75" i="82"/>
  <c r="V75" i="82"/>
  <c r="V73" i="82"/>
  <c r="V71" i="82"/>
  <c r="V74" i="82"/>
  <c r="V72" i="82"/>
  <c r="V144" i="82"/>
  <c r="V142" i="82"/>
  <c r="V145" i="82"/>
  <c r="V143" i="82"/>
  <c r="V141" i="82"/>
  <c r="V140" i="82"/>
  <c r="V138" i="82"/>
  <c r="V136" i="82"/>
  <c r="V139" i="82"/>
  <c r="V137" i="82"/>
  <c r="I24" i="82"/>
  <c r="S48" i="63"/>
  <c r="I19" i="82"/>
  <c r="S81" i="62"/>
  <c r="I89" i="82"/>
  <c r="Z89" i="82" s="1"/>
  <c r="Y109" i="82"/>
  <c r="Y119" i="82"/>
  <c r="S41" i="62"/>
  <c r="S45" i="62"/>
  <c r="S85" i="62"/>
  <c r="J110" i="82"/>
  <c r="N145" i="82"/>
  <c r="N65" i="82"/>
  <c r="J100" i="82"/>
  <c r="N130" i="82"/>
  <c r="N105" i="82"/>
  <c r="N140" i="82"/>
  <c r="O70" i="82"/>
  <c r="N125" i="82"/>
  <c r="G80" i="82"/>
  <c r="M59" i="82"/>
  <c r="AD59" i="82" s="1"/>
  <c r="AC59" i="82"/>
  <c r="M39" i="82"/>
  <c r="AC39" i="82"/>
  <c r="M64" i="82"/>
  <c r="AD64" i="82" s="1"/>
  <c r="AC64" i="82"/>
  <c r="N150" i="82"/>
  <c r="N60" i="82"/>
  <c r="N85" i="82"/>
  <c r="N135" i="82"/>
  <c r="N55" i="82"/>
  <c r="N115" i="82"/>
  <c r="O100" i="82"/>
  <c r="O125" i="82"/>
  <c r="O110" i="82"/>
  <c r="O45" i="82"/>
  <c r="N70" i="82"/>
  <c r="AD94" i="82"/>
  <c r="I114" i="82"/>
  <c r="Z114" i="82" s="1"/>
  <c r="AD89" i="82"/>
  <c r="I44" i="82"/>
  <c r="Z44" i="82" s="1"/>
  <c r="AD29" i="82"/>
  <c r="AD69" i="82"/>
  <c r="Z149" i="82"/>
  <c r="K65" i="82"/>
  <c r="K135" i="82"/>
  <c r="K145" i="82"/>
  <c r="K55" i="82"/>
  <c r="K60" i="82"/>
  <c r="K105" i="82"/>
  <c r="K140" i="82"/>
  <c r="K85" i="82"/>
  <c r="K150" i="82"/>
  <c r="K110" i="82"/>
  <c r="K45" i="82"/>
  <c r="K115" i="82"/>
  <c r="K50" i="82"/>
  <c r="K80" i="82"/>
  <c r="K75" i="82"/>
  <c r="K130" i="82"/>
  <c r="K125" i="82"/>
  <c r="K120" i="82"/>
  <c r="AD44" i="82"/>
  <c r="AD124" i="82"/>
  <c r="G145" i="82"/>
  <c r="G65" i="82"/>
  <c r="G55" i="82"/>
  <c r="G135" i="82"/>
  <c r="G100" i="82"/>
  <c r="G50" i="82"/>
  <c r="G85" i="82"/>
  <c r="G105" i="82"/>
  <c r="G95" i="82"/>
  <c r="G140" i="82"/>
  <c r="G150" i="82"/>
  <c r="G60" i="82"/>
  <c r="I124" i="82"/>
  <c r="Z124" i="82" s="1"/>
  <c r="AC24" i="82"/>
  <c r="AD99" i="82"/>
  <c r="Z139" i="82"/>
  <c r="AC89" i="82"/>
  <c r="J145" i="82"/>
  <c r="J55" i="82"/>
  <c r="J135" i="82"/>
  <c r="J65" i="82"/>
  <c r="J85" i="82"/>
  <c r="J140" i="82"/>
  <c r="J150" i="82"/>
  <c r="J60" i="82"/>
  <c r="J105" i="82"/>
  <c r="J75" i="82"/>
  <c r="J130" i="82"/>
  <c r="J90" i="82"/>
  <c r="J50" i="82"/>
  <c r="J80" i="82"/>
  <c r="J70" i="82"/>
  <c r="G130" i="82"/>
  <c r="G75" i="82"/>
  <c r="K70" i="82"/>
  <c r="G90" i="82"/>
  <c r="K100" i="82"/>
  <c r="G70" i="82"/>
  <c r="G120" i="82"/>
  <c r="G110" i="82"/>
  <c r="G45" i="82"/>
  <c r="J125" i="82"/>
  <c r="K90" i="82"/>
  <c r="J95" i="82"/>
  <c r="K95" i="82"/>
  <c r="N45" i="82"/>
  <c r="O95" i="82"/>
  <c r="N95" i="82"/>
  <c r="N100" i="82"/>
  <c r="J115" i="82"/>
  <c r="O115" i="82"/>
  <c r="G125" i="82"/>
  <c r="G115" i="82"/>
  <c r="J45" i="82"/>
  <c r="J120" i="82"/>
  <c r="N120" i="82"/>
  <c r="I129" i="82"/>
  <c r="Z129" i="82" s="1"/>
  <c r="I74" i="82"/>
  <c r="Z74" i="82" s="1"/>
  <c r="AC69" i="82"/>
  <c r="AC99" i="82"/>
  <c r="T85" i="82"/>
  <c r="T83" i="82"/>
  <c r="T81" i="82"/>
  <c r="AH81" i="82" s="1"/>
  <c r="T82" i="82"/>
  <c r="T84" i="82"/>
  <c r="O135" i="82"/>
  <c r="O55" i="82"/>
  <c r="O65" i="82"/>
  <c r="O145" i="82"/>
  <c r="O60" i="82"/>
  <c r="O85" i="82"/>
  <c r="O150" i="82"/>
  <c r="O140" i="82"/>
  <c r="O105" i="82"/>
  <c r="O120" i="82"/>
  <c r="O90" i="82"/>
  <c r="O75" i="82"/>
  <c r="O80" i="82"/>
  <c r="O50" i="82"/>
  <c r="O130" i="82"/>
  <c r="AC94" i="82"/>
  <c r="N50" i="82"/>
  <c r="N90" i="82"/>
  <c r="N110" i="82"/>
  <c r="N80" i="82"/>
  <c r="N75" i="82"/>
  <c r="S47" i="63"/>
  <c r="S46" i="63"/>
  <c r="S50" i="63"/>
  <c r="S83" i="62"/>
  <c r="R16" i="82"/>
  <c r="M24" i="82"/>
  <c r="T147" i="82"/>
  <c r="T146" i="82"/>
  <c r="AH146" i="82" s="1"/>
  <c r="T149" i="82"/>
  <c r="T148" i="82"/>
  <c r="T150" i="82"/>
  <c r="T143" i="82"/>
  <c r="T145" i="82"/>
  <c r="T144" i="82"/>
  <c r="T141" i="82"/>
  <c r="AH141" i="82" s="1"/>
  <c r="T142" i="82"/>
  <c r="T137" i="82"/>
  <c r="T138" i="82"/>
  <c r="T139" i="82"/>
  <c r="T140" i="82"/>
  <c r="T136" i="82"/>
  <c r="AH136" i="82" s="1"/>
  <c r="S95" i="63"/>
  <c r="S91" i="63"/>
  <c r="S94" i="63"/>
  <c r="S93" i="63"/>
  <c r="S41" i="63"/>
  <c r="S42" i="63"/>
  <c r="S45" i="63"/>
  <c r="S83" i="63"/>
  <c r="S44" i="63"/>
  <c r="S70" i="63"/>
  <c r="S84" i="63"/>
  <c r="S82" i="63"/>
  <c r="S81" i="63"/>
  <c r="S66" i="63"/>
  <c r="S69" i="63"/>
  <c r="Z84" i="82"/>
  <c r="S68" i="63"/>
  <c r="Y124" i="82"/>
  <c r="Y44" i="82"/>
  <c r="AA84" i="63"/>
  <c r="M84" i="63"/>
  <c r="AB84" i="63" s="1"/>
  <c r="W84" i="63"/>
  <c r="I84" i="63"/>
  <c r="H85" i="63"/>
  <c r="AA69" i="63"/>
  <c r="M69" i="63"/>
  <c r="AB69" i="63" s="1"/>
  <c r="X44" i="63"/>
  <c r="I45" i="63"/>
  <c r="I69" i="63"/>
  <c r="W69" i="63"/>
  <c r="H70" i="63"/>
  <c r="X94" i="63"/>
  <c r="I95" i="63"/>
  <c r="Y114" i="82"/>
  <c r="T113" i="82"/>
  <c r="V124" i="82"/>
  <c r="T112" i="82"/>
  <c r="V33" i="82"/>
  <c r="V91" i="82"/>
  <c r="T120" i="82"/>
  <c r="V117" i="82"/>
  <c r="V116" i="82"/>
  <c r="V120" i="82"/>
  <c r="T30" i="82"/>
  <c r="T39" i="82"/>
  <c r="T29" i="82"/>
  <c r="T114" i="82"/>
  <c r="V70" i="82"/>
  <c r="AC129" i="82"/>
  <c r="AD129" i="82"/>
  <c r="T121" i="82"/>
  <c r="AH121" i="82" s="1"/>
  <c r="R121" i="82" s="1"/>
  <c r="V106" i="82"/>
  <c r="T57" i="82"/>
  <c r="T65" i="82"/>
  <c r="T61" i="82"/>
  <c r="AH61" i="82" s="1"/>
  <c r="R62" i="82" s="1"/>
  <c r="V80" i="82"/>
  <c r="V32" i="82"/>
  <c r="T66" i="82"/>
  <c r="AH66" i="82" s="1"/>
  <c r="R67" i="82" s="1"/>
  <c r="T94" i="82"/>
  <c r="T31" i="82"/>
  <c r="AH31" i="82" s="1"/>
  <c r="V67" i="82"/>
  <c r="T102" i="82"/>
  <c r="T132" i="82"/>
  <c r="V34" i="82"/>
  <c r="T67" i="82"/>
  <c r="T131" i="82"/>
  <c r="AH131" i="82" s="1"/>
  <c r="T45" i="82"/>
  <c r="V119" i="82"/>
  <c r="T117" i="82"/>
  <c r="T116" i="82"/>
  <c r="AH116" i="82" s="1"/>
  <c r="R117" i="82" s="1"/>
  <c r="T119" i="82"/>
  <c r="V118" i="82"/>
  <c r="T115" i="82"/>
  <c r="T111" i="82"/>
  <c r="AH111" i="82" s="1"/>
  <c r="R112" i="82" s="1"/>
  <c r="T134" i="82"/>
  <c r="T59" i="82"/>
  <c r="T135" i="82"/>
  <c r="T34" i="82"/>
  <c r="V31" i="82"/>
  <c r="V66" i="82"/>
  <c r="V68" i="82"/>
  <c r="T43" i="82"/>
  <c r="T44" i="82"/>
  <c r="T33" i="82"/>
  <c r="T69" i="82"/>
  <c r="V39" i="82"/>
  <c r="T26" i="82"/>
  <c r="AH26" i="82" s="1"/>
  <c r="V37" i="82"/>
  <c r="T38" i="82"/>
  <c r="T96" i="82"/>
  <c r="AH96" i="82" s="1"/>
  <c r="R97" i="82" s="1"/>
  <c r="T18" i="82"/>
  <c r="T20" i="82"/>
  <c r="V125" i="82"/>
  <c r="T54" i="82"/>
  <c r="T25" i="82"/>
  <c r="T48" i="82"/>
  <c r="V79" i="82"/>
  <c r="T51" i="82"/>
  <c r="AH51" i="82" s="1"/>
  <c r="R52" i="82" s="1"/>
  <c r="T73" i="82"/>
  <c r="T19" i="82"/>
  <c r="T17" i="82"/>
  <c r="V110" i="82"/>
  <c r="T89" i="82"/>
  <c r="T90" i="82"/>
  <c r="R17" i="82"/>
  <c r="T129" i="82"/>
  <c r="V123" i="82"/>
  <c r="T55" i="82"/>
  <c r="V25" i="82"/>
  <c r="V109" i="82"/>
  <c r="T47" i="82"/>
  <c r="V90" i="82"/>
  <c r="T92" i="82"/>
  <c r="V76" i="82"/>
  <c r="T71" i="82"/>
  <c r="AH71" i="82" s="1"/>
  <c r="R71" i="82" s="1"/>
  <c r="T105" i="82"/>
  <c r="T22" i="82"/>
  <c r="V86" i="82"/>
  <c r="T126" i="82"/>
  <c r="AH126" i="82" s="1"/>
  <c r="R126" i="82" s="1"/>
  <c r="T128" i="82"/>
  <c r="T125" i="82"/>
  <c r="T123" i="82"/>
  <c r="T64" i="82"/>
  <c r="T122" i="82"/>
  <c r="V22" i="82"/>
  <c r="V23" i="82"/>
  <c r="T110" i="82"/>
  <c r="T108" i="82"/>
  <c r="V89" i="82"/>
  <c r="V87" i="82"/>
  <c r="V95" i="82"/>
  <c r="V93" i="82"/>
  <c r="T80" i="82"/>
  <c r="T78" i="82"/>
  <c r="T103" i="82"/>
  <c r="V101" i="82"/>
  <c r="T49" i="82"/>
  <c r="AC19" i="82"/>
  <c r="M19" i="82"/>
  <c r="T107" i="82"/>
  <c r="T109" i="82"/>
  <c r="V107" i="82"/>
  <c r="T106" i="82"/>
  <c r="AH106" i="82" s="1"/>
  <c r="T72" i="82"/>
  <c r="T74" i="82"/>
  <c r="T62" i="82"/>
  <c r="T63" i="82"/>
  <c r="T41" i="82"/>
  <c r="AH41" i="82" s="1"/>
  <c r="T124" i="82"/>
  <c r="V122" i="82"/>
  <c r="T35" i="82"/>
  <c r="V35" i="82"/>
  <c r="T53" i="82"/>
  <c r="T70" i="82"/>
  <c r="T68" i="82"/>
  <c r="T77" i="82"/>
  <c r="T79" i="82"/>
  <c r="V77" i="82"/>
  <c r="T76" i="82"/>
  <c r="AH76" i="82" s="1"/>
  <c r="T97" i="82"/>
  <c r="T100" i="82"/>
  <c r="V40" i="82"/>
  <c r="V38" i="82"/>
  <c r="T60" i="82"/>
  <c r="V102" i="82"/>
  <c r="V105" i="82"/>
  <c r="T104" i="82"/>
  <c r="T101" i="82"/>
  <c r="AH101" i="82" s="1"/>
  <c r="V104" i="82"/>
  <c r="T98" i="82"/>
  <c r="T40" i="82"/>
  <c r="T37" i="82"/>
  <c r="T36" i="82"/>
  <c r="AH36" i="82" s="1"/>
  <c r="T27" i="82"/>
  <c r="T56" i="82"/>
  <c r="AH56" i="82" s="1"/>
  <c r="T91" i="82"/>
  <c r="AH91" i="82" s="1"/>
  <c r="V94" i="82"/>
  <c r="T95" i="82"/>
  <c r="V92" i="82"/>
  <c r="T50" i="82"/>
  <c r="T46" i="82"/>
  <c r="AH46" i="82" s="1"/>
  <c r="T24" i="82"/>
  <c r="T21" i="82"/>
  <c r="AH21" i="82" s="1"/>
  <c r="V24" i="82"/>
  <c r="T23" i="82"/>
  <c r="T86" i="82"/>
  <c r="AH86" i="82" s="1"/>
  <c r="T87" i="82"/>
  <c r="T88" i="82"/>
  <c r="T127" i="82"/>
  <c r="S132" i="62"/>
  <c r="S50" i="62"/>
  <c r="S135" i="62"/>
  <c r="S47" i="62"/>
  <c r="S131" i="62"/>
  <c r="S46" i="62"/>
  <c r="S134" i="62"/>
  <c r="S49" i="62"/>
  <c r="Z54" i="82"/>
  <c r="Z104" i="82"/>
  <c r="Z49" i="82"/>
  <c r="Z99" i="82"/>
  <c r="Z134" i="82"/>
  <c r="Z109" i="82"/>
  <c r="Z69" i="82"/>
  <c r="Z59" i="82"/>
  <c r="Z39" i="82"/>
  <c r="Z94" i="82"/>
  <c r="Z79" i="82"/>
  <c r="Z119" i="82"/>
  <c r="Z64" i="82"/>
  <c r="S133" i="63"/>
  <c r="S132" i="63"/>
  <c r="S131" i="63"/>
  <c r="S135" i="63"/>
  <c r="AA134" i="63"/>
  <c r="M134" i="63"/>
  <c r="AB134" i="63" s="1"/>
  <c r="I134" i="63"/>
  <c r="H135" i="63"/>
  <c r="W134" i="63"/>
  <c r="M129" i="63"/>
  <c r="AB129" i="63" s="1"/>
  <c r="AA129" i="63"/>
  <c r="X49" i="63"/>
  <c r="I50" i="63"/>
  <c r="X129" i="63"/>
  <c r="I130" i="63"/>
  <c r="X114" i="63"/>
  <c r="I115" i="63"/>
  <c r="L110" i="63"/>
  <c r="L140" i="63"/>
  <c r="L25" i="63"/>
  <c r="L70" i="63"/>
  <c r="L115" i="63"/>
  <c r="L55" i="63"/>
  <c r="L95" i="63"/>
  <c r="L155" i="63"/>
  <c r="L125" i="63"/>
  <c r="L50" i="63"/>
  <c r="L130" i="63"/>
  <c r="L75" i="63"/>
  <c r="L60" i="63"/>
  <c r="L90" i="63"/>
  <c r="L100" i="63"/>
  <c r="L35" i="63"/>
  <c r="L40" i="63"/>
  <c r="L150" i="63"/>
  <c r="L85" i="63"/>
  <c r="L30" i="63"/>
  <c r="L45" i="63"/>
  <c r="L80" i="63"/>
  <c r="L20" i="63"/>
  <c r="L105" i="63"/>
  <c r="L135" i="63"/>
  <c r="L65" i="63"/>
  <c r="L145" i="63"/>
  <c r="AB109" i="63"/>
  <c r="M110" i="63" s="1"/>
  <c r="W154" i="62"/>
  <c r="X154" i="62"/>
  <c r="AB154" i="62"/>
  <c r="F119" i="62"/>
  <c r="X74" i="63" l="1"/>
  <c r="I75" i="63"/>
  <c r="M53" i="113"/>
  <c r="M55" i="114"/>
  <c r="M33" i="113"/>
  <c r="M28" i="113"/>
  <c r="M18" i="113"/>
  <c r="H20" i="114"/>
  <c r="H65" i="114"/>
  <c r="H55" i="114"/>
  <c r="H90" i="114"/>
  <c r="H40" i="114"/>
  <c r="M90" i="114"/>
  <c r="M40" i="114"/>
  <c r="M85" i="114"/>
  <c r="H85" i="114"/>
  <c r="M110" i="114"/>
  <c r="M100" i="114"/>
  <c r="M120" i="114"/>
  <c r="AD42" i="113"/>
  <c r="M43" i="113"/>
  <c r="Z24" i="114"/>
  <c r="I65" i="114" s="1"/>
  <c r="AD24" i="114"/>
  <c r="M25" i="114"/>
  <c r="AD74" i="114"/>
  <c r="M75" i="114"/>
  <c r="Z42" i="113"/>
  <c r="I43" i="113"/>
  <c r="Z74" i="114"/>
  <c r="I75" i="114"/>
  <c r="X79" i="63"/>
  <c r="I80" i="63"/>
  <c r="M100" i="112"/>
  <c r="M60" i="112"/>
  <c r="M85" i="112"/>
  <c r="M55" i="112"/>
  <c r="M120" i="112"/>
  <c r="M20" i="112"/>
  <c r="M30" i="112"/>
  <c r="M95" i="112"/>
  <c r="M65" i="112"/>
  <c r="M50" i="112"/>
  <c r="M45" i="112"/>
  <c r="M70" i="112"/>
  <c r="M80" i="112"/>
  <c r="M90" i="112"/>
  <c r="M75" i="112"/>
  <c r="M105" i="112"/>
  <c r="I100" i="112"/>
  <c r="I85" i="112"/>
  <c r="I55" i="112"/>
  <c r="I95" i="112"/>
  <c r="I80" i="112"/>
  <c r="I120" i="112"/>
  <c r="I90" i="112"/>
  <c r="I105" i="112"/>
  <c r="I75" i="112"/>
  <c r="I65" i="112"/>
  <c r="I45" i="112"/>
  <c r="I70" i="112"/>
  <c r="I60" i="112"/>
  <c r="I30" i="112"/>
  <c r="M110" i="112"/>
  <c r="I125" i="112"/>
  <c r="M35" i="112"/>
  <c r="M40" i="112"/>
  <c r="M25" i="112"/>
  <c r="I35" i="112"/>
  <c r="I20" i="112"/>
  <c r="I40" i="112"/>
  <c r="I50" i="112"/>
  <c r="I110" i="112"/>
  <c r="I25" i="112"/>
  <c r="I115" i="112"/>
  <c r="X124" i="63"/>
  <c r="I125" i="63"/>
  <c r="X119" i="63"/>
  <c r="I120" i="63"/>
  <c r="J119" i="63"/>
  <c r="L55" i="106"/>
  <c r="H30" i="82"/>
  <c r="L35" i="82"/>
  <c r="L30" i="82"/>
  <c r="Z24" i="82"/>
  <c r="H25" i="82"/>
  <c r="H40" i="82"/>
  <c r="L40" i="82"/>
  <c r="H35" i="82"/>
  <c r="H20" i="82"/>
  <c r="AD39" i="82"/>
  <c r="Z19" i="82"/>
  <c r="L20" i="82"/>
  <c r="L25" i="82"/>
  <c r="R26" i="105"/>
  <c r="R22" i="105"/>
  <c r="L55" i="105"/>
  <c r="L75" i="105"/>
  <c r="L30" i="105"/>
  <c r="M75" i="106"/>
  <c r="R32" i="105"/>
  <c r="L25" i="106"/>
  <c r="L40" i="106"/>
  <c r="L70" i="106"/>
  <c r="M85" i="106"/>
  <c r="M40" i="106"/>
  <c r="M70" i="106"/>
  <c r="M25" i="105"/>
  <c r="M65" i="106"/>
  <c r="M30" i="106"/>
  <c r="M35" i="106"/>
  <c r="M45" i="106"/>
  <c r="M80" i="106"/>
  <c r="M20" i="106"/>
  <c r="M45" i="105"/>
  <c r="M80" i="105"/>
  <c r="M20" i="105"/>
  <c r="R17" i="105"/>
  <c r="M35" i="105"/>
  <c r="M50" i="105"/>
  <c r="R21" i="106"/>
  <c r="M70" i="105"/>
  <c r="M40" i="105"/>
  <c r="L80" i="106"/>
  <c r="L65" i="106"/>
  <c r="M30" i="105"/>
  <c r="M75" i="105"/>
  <c r="M55" i="105"/>
  <c r="L50" i="106"/>
  <c r="L45" i="106"/>
  <c r="L75" i="106"/>
  <c r="L30" i="106"/>
  <c r="L20" i="106"/>
  <c r="R16" i="106"/>
  <c r="H25" i="106"/>
  <c r="H70" i="105"/>
  <c r="L60" i="105"/>
  <c r="L65" i="105"/>
  <c r="L35" i="105"/>
  <c r="H45" i="105"/>
  <c r="L40" i="105"/>
  <c r="L25" i="105"/>
  <c r="L80" i="105"/>
  <c r="L50" i="105"/>
  <c r="L20" i="105"/>
  <c r="H60" i="106"/>
  <c r="H20" i="105"/>
  <c r="H45" i="106"/>
  <c r="H30" i="105"/>
  <c r="H75" i="105"/>
  <c r="Z79" i="106"/>
  <c r="H65" i="106"/>
  <c r="H55" i="106"/>
  <c r="H80" i="105"/>
  <c r="H40" i="105"/>
  <c r="Z69" i="106"/>
  <c r="Z49" i="105"/>
  <c r="H50" i="106"/>
  <c r="H55" i="105"/>
  <c r="H80" i="106"/>
  <c r="H75" i="106"/>
  <c r="Z44" i="105"/>
  <c r="H20" i="106"/>
  <c r="H85" i="106"/>
  <c r="H30" i="106"/>
  <c r="Z74" i="105"/>
  <c r="Z64" i="106"/>
  <c r="Z79" i="105"/>
  <c r="I80" i="105" s="1"/>
  <c r="H60" i="105"/>
  <c r="H25" i="105"/>
  <c r="Z74" i="106"/>
  <c r="H65" i="105"/>
  <c r="H35" i="106"/>
  <c r="H70" i="106"/>
  <c r="H50" i="105"/>
  <c r="H35" i="105"/>
  <c r="Z84" i="106"/>
  <c r="H40" i="106"/>
  <c r="H145" i="82"/>
  <c r="AD19" i="82"/>
  <c r="H120" i="82"/>
  <c r="H90" i="82"/>
  <c r="I85" i="82"/>
  <c r="H80" i="82"/>
  <c r="H150" i="82"/>
  <c r="L95" i="82"/>
  <c r="I75" i="82"/>
  <c r="I130" i="82"/>
  <c r="H85" i="82"/>
  <c r="H50" i="82"/>
  <c r="H140" i="82"/>
  <c r="I95" i="82"/>
  <c r="I120" i="82"/>
  <c r="I110" i="82"/>
  <c r="L90" i="82"/>
  <c r="H125" i="82"/>
  <c r="H55" i="82"/>
  <c r="H135" i="82"/>
  <c r="L55" i="82"/>
  <c r="L145" i="82"/>
  <c r="L135" i="82"/>
  <c r="L65" i="82"/>
  <c r="L140" i="82"/>
  <c r="L105" i="82"/>
  <c r="L60" i="82"/>
  <c r="L150" i="82"/>
  <c r="L85" i="82"/>
  <c r="L50" i="82"/>
  <c r="L45" i="82"/>
  <c r="L125" i="82"/>
  <c r="L130" i="82"/>
  <c r="L75" i="82"/>
  <c r="L120" i="82"/>
  <c r="L115" i="82"/>
  <c r="L110" i="82"/>
  <c r="L80" i="82"/>
  <c r="AD24" i="82"/>
  <c r="H110" i="82"/>
  <c r="H70" i="82"/>
  <c r="I105" i="82"/>
  <c r="H95" i="82"/>
  <c r="L100" i="82"/>
  <c r="L70" i="82"/>
  <c r="H75" i="82"/>
  <c r="H130" i="82"/>
  <c r="H60" i="82"/>
  <c r="H105" i="82"/>
  <c r="H100" i="82"/>
  <c r="I50" i="82"/>
  <c r="H45" i="82"/>
  <c r="H115" i="82"/>
  <c r="H65" i="82"/>
  <c r="R136" i="82"/>
  <c r="R137" i="82"/>
  <c r="R141" i="82"/>
  <c r="R142" i="82"/>
  <c r="R147" i="82"/>
  <c r="R146" i="82"/>
  <c r="X69" i="63"/>
  <c r="I70" i="63"/>
  <c r="X84" i="63"/>
  <c r="I85" i="63"/>
  <c r="R122" i="82"/>
  <c r="R61" i="82"/>
  <c r="R32" i="82"/>
  <c r="R31" i="82"/>
  <c r="R116" i="82"/>
  <c r="R72" i="82"/>
  <c r="R66" i="82"/>
  <c r="R131" i="82"/>
  <c r="R132" i="82"/>
  <c r="R111" i="82"/>
  <c r="R51" i="82"/>
  <c r="R26" i="82"/>
  <c r="R27" i="82"/>
  <c r="R96" i="82"/>
  <c r="R127" i="82"/>
  <c r="R107" i="82"/>
  <c r="R106" i="82"/>
  <c r="R42" i="82"/>
  <c r="R41" i="82"/>
  <c r="R77" i="82"/>
  <c r="R76" i="82"/>
  <c r="R102" i="82"/>
  <c r="R101" i="82"/>
  <c r="R22" i="82"/>
  <c r="R21" i="82"/>
  <c r="R91" i="82"/>
  <c r="R92" i="82"/>
  <c r="R37" i="82"/>
  <c r="R36" i="82"/>
  <c r="R87" i="82"/>
  <c r="R86" i="82"/>
  <c r="R82" i="82"/>
  <c r="R81" i="82"/>
  <c r="R47" i="82"/>
  <c r="R46" i="82"/>
  <c r="R56" i="82"/>
  <c r="R57" i="82"/>
  <c r="I135" i="63"/>
  <c r="X134" i="63"/>
  <c r="M60" i="63"/>
  <c r="M85" i="63"/>
  <c r="M25" i="63"/>
  <c r="M70" i="63"/>
  <c r="M145" i="63"/>
  <c r="M20" i="63"/>
  <c r="M30" i="63"/>
  <c r="M100" i="63"/>
  <c r="M105" i="63"/>
  <c r="M115" i="63"/>
  <c r="M65" i="63"/>
  <c r="M150" i="63"/>
  <c r="M80" i="63"/>
  <c r="M135" i="63"/>
  <c r="M55" i="63"/>
  <c r="M40" i="63"/>
  <c r="M140" i="63"/>
  <c r="M45" i="63"/>
  <c r="M125" i="63"/>
  <c r="M130" i="63"/>
  <c r="M75" i="63"/>
  <c r="M155" i="63"/>
  <c r="M50" i="63"/>
  <c r="M95" i="63"/>
  <c r="M35" i="63"/>
  <c r="M90" i="63"/>
  <c r="N124" i="62"/>
  <c r="AC124" i="62" s="1"/>
  <c r="J124" i="62"/>
  <c r="Y124" i="62" s="1"/>
  <c r="F124" i="62"/>
  <c r="K124" i="62"/>
  <c r="Z124" i="62" s="1"/>
  <c r="O124" i="62"/>
  <c r="AD124" i="62" s="1"/>
  <c r="U119" i="62"/>
  <c r="N19" i="62"/>
  <c r="AC19" i="62" s="1"/>
  <c r="O19" i="62"/>
  <c r="AD19" i="62" s="1"/>
  <c r="G119" i="62"/>
  <c r="F19" i="62"/>
  <c r="K19" i="62"/>
  <c r="J19" i="62"/>
  <c r="Y19" i="62" s="1"/>
  <c r="I25" i="114" l="1"/>
  <c r="I55" i="114"/>
  <c r="I20" i="114"/>
  <c r="I125" i="82"/>
  <c r="I90" i="114"/>
  <c r="I40" i="114"/>
  <c r="I85" i="114"/>
  <c r="I135" i="82"/>
  <c r="K119" i="63"/>
  <c r="Y119" i="63"/>
  <c r="J120" i="63"/>
  <c r="I100" i="82"/>
  <c r="I150" i="82"/>
  <c r="I80" i="82"/>
  <c r="I55" i="82"/>
  <c r="I45" i="82"/>
  <c r="I60" i="82"/>
  <c r="I140" i="82"/>
  <c r="I65" i="82"/>
  <c r="I70" i="82"/>
  <c r="I145" i="82"/>
  <c r="I115" i="82"/>
  <c r="I90" i="82"/>
  <c r="M30" i="82"/>
  <c r="M35" i="82"/>
  <c r="M40" i="82"/>
  <c r="I40" i="82"/>
  <c r="I35" i="82"/>
  <c r="I30" i="82"/>
  <c r="I20" i="82"/>
  <c r="M20" i="82"/>
  <c r="M25" i="82"/>
  <c r="I25" i="82"/>
  <c r="I65" i="106"/>
  <c r="I85" i="106"/>
  <c r="I75" i="105"/>
  <c r="I75" i="106"/>
  <c r="I50" i="105"/>
  <c r="I80" i="106"/>
  <c r="I55" i="106"/>
  <c r="I40" i="106"/>
  <c r="I35" i="106"/>
  <c r="I25" i="106"/>
  <c r="I20" i="106"/>
  <c r="I50" i="106"/>
  <c r="I45" i="106"/>
  <c r="I30" i="106"/>
  <c r="I60" i="106"/>
  <c r="I45" i="105"/>
  <c r="I70" i="106"/>
  <c r="I30" i="105"/>
  <c r="I60" i="105"/>
  <c r="I40" i="105"/>
  <c r="I25" i="105"/>
  <c r="I20" i="105"/>
  <c r="I35" i="105"/>
  <c r="I70" i="105"/>
  <c r="I55" i="105"/>
  <c r="I65" i="105"/>
  <c r="M145" i="82"/>
  <c r="M65" i="82"/>
  <c r="M55" i="82"/>
  <c r="M135" i="82"/>
  <c r="M115" i="82"/>
  <c r="M120" i="82"/>
  <c r="M150" i="82"/>
  <c r="M140" i="82"/>
  <c r="M80" i="82"/>
  <c r="M110" i="82"/>
  <c r="M85" i="82"/>
  <c r="M105" i="82"/>
  <c r="M60" i="82"/>
  <c r="M95" i="82"/>
  <c r="M90" i="82"/>
  <c r="M70" i="82"/>
  <c r="M130" i="82"/>
  <c r="M45" i="82"/>
  <c r="M125" i="82"/>
  <c r="M100" i="82"/>
  <c r="M75" i="82"/>
  <c r="M50" i="82"/>
  <c r="N129" i="62"/>
  <c r="AC129" i="62" s="1"/>
  <c r="O129" i="62"/>
  <c r="AD129" i="62" s="1"/>
  <c r="K129" i="62"/>
  <c r="Z129" i="62" s="1"/>
  <c r="G124" i="62"/>
  <c r="F129" i="62"/>
  <c r="J129" i="62"/>
  <c r="Y129" i="62" s="1"/>
  <c r="U124" i="62"/>
  <c r="Z19" i="62"/>
  <c r="H119" i="62"/>
  <c r="V119" i="62"/>
  <c r="K24" i="62"/>
  <c r="N24" i="62"/>
  <c r="AC24" i="62" s="1"/>
  <c r="O24" i="62"/>
  <c r="AD24" i="62" s="1"/>
  <c r="J24" i="62"/>
  <c r="Y24" i="62" s="1"/>
  <c r="F24" i="62"/>
  <c r="G19" i="62"/>
  <c r="U19" i="62"/>
  <c r="L119" i="63" l="1"/>
  <c r="Z119" i="63"/>
  <c r="K120" i="63"/>
  <c r="H124" i="62"/>
  <c r="V124" i="62"/>
  <c r="N134" i="62"/>
  <c r="AC134" i="62" s="1"/>
  <c r="O134" i="62"/>
  <c r="AD134" i="62" s="1"/>
  <c r="K134" i="62"/>
  <c r="Z134" i="62" s="1"/>
  <c r="G129" i="62"/>
  <c r="F134" i="62"/>
  <c r="J134" i="62"/>
  <c r="Y134" i="62" s="1"/>
  <c r="U129" i="62"/>
  <c r="H19" i="62"/>
  <c r="V19" i="62"/>
  <c r="O29" i="62"/>
  <c r="AD29" i="62" s="1"/>
  <c r="N29" i="62"/>
  <c r="AC29" i="62" s="1"/>
  <c r="K29" i="62"/>
  <c r="F29" i="62"/>
  <c r="J29" i="62"/>
  <c r="Y29" i="62" s="1"/>
  <c r="U24" i="62"/>
  <c r="G24" i="62"/>
  <c r="Z24" i="62"/>
  <c r="W119" i="62"/>
  <c r="I119" i="62"/>
  <c r="M119" i="63" l="1"/>
  <c r="AA119" i="63"/>
  <c r="L120" i="63"/>
  <c r="H129" i="62"/>
  <c r="V129" i="62"/>
  <c r="J139" i="62"/>
  <c r="Y139" i="62" s="1"/>
  <c r="U134" i="62"/>
  <c r="O139" i="62"/>
  <c r="AD139" i="62" s="1"/>
  <c r="G134" i="62"/>
  <c r="N139" i="62"/>
  <c r="AC139" i="62" s="1"/>
  <c r="F139" i="62"/>
  <c r="K139" i="62"/>
  <c r="Z139" i="62" s="1"/>
  <c r="I124" i="62"/>
  <c r="X124" i="62" s="1"/>
  <c r="W124" i="62"/>
  <c r="O34" i="62"/>
  <c r="AD34" i="62" s="1"/>
  <c r="N34" i="62"/>
  <c r="AC34" i="62" s="1"/>
  <c r="J34" i="62"/>
  <c r="Y34" i="62" s="1"/>
  <c r="F34" i="62"/>
  <c r="K34" i="62"/>
  <c r="G29" i="62"/>
  <c r="U29" i="62"/>
  <c r="X119" i="62"/>
  <c r="J119" i="62"/>
  <c r="V24" i="62"/>
  <c r="H24" i="62"/>
  <c r="Z29" i="62"/>
  <c r="W19" i="62"/>
  <c r="I19" i="62"/>
  <c r="X19" i="62" s="1"/>
  <c r="AB119" i="63" l="1"/>
  <c r="N119" i="63"/>
  <c r="M120" i="63"/>
  <c r="U139" i="62"/>
  <c r="J144" i="62"/>
  <c r="Y144" i="62" s="1"/>
  <c r="N144" i="62"/>
  <c r="AC144" i="62" s="1"/>
  <c r="G139" i="62"/>
  <c r="F144" i="62"/>
  <c r="O144" i="62"/>
  <c r="AD144" i="62" s="1"/>
  <c r="K144" i="62"/>
  <c r="Z144" i="62" s="1"/>
  <c r="H134" i="62"/>
  <c r="V134" i="62"/>
  <c r="I129" i="62"/>
  <c r="X129" i="62" s="1"/>
  <c r="W129" i="62"/>
  <c r="H29" i="62"/>
  <c r="V29" i="62"/>
  <c r="O39" i="62"/>
  <c r="AD39" i="62" s="1"/>
  <c r="N39" i="62"/>
  <c r="AC39" i="62" s="1"/>
  <c r="K39" i="62"/>
  <c r="F39" i="62"/>
  <c r="J39" i="62"/>
  <c r="Y39" i="62" s="1"/>
  <c r="U34" i="62"/>
  <c r="G34" i="62"/>
  <c r="W24" i="62"/>
  <c r="I24" i="62"/>
  <c r="X24" i="62" s="1"/>
  <c r="Y119" i="62"/>
  <c r="K119" i="62"/>
  <c r="Z34" i="62"/>
  <c r="N120" i="63" l="1"/>
  <c r="AC119" i="63"/>
  <c r="I134" i="62"/>
  <c r="X134" i="62" s="1"/>
  <c r="W134" i="62"/>
  <c r="V139" i="62"/>
  <c r="H139" i="62"/>
  <c r="N149" i="62"/>
  <c r="AC149" i="62" s="1"/>
  <c r="U144" i="62"/>
  <c r="J149" i="62"/>
  <c r="Y149" i="62" s="1"/>
  <c r="G144" i="62"/>
  <c r="K149" i="62"/>
  <c r="Z149" i="62" s="1"/>
  <c r="O149" i="62"/>
  <c r="AD149" i="62" s="1"/>
  <c r="F149" i="62"/>
  <c r="J54" i="62"/>
  <c r="Y54" i="62" s="1"/>
  <c r="O54" i="62"/>
  <c r="AD54" i="62" s="1"/>
  <c r="F54" i="62"/>
  <c r="N54" i="62"/>
  <c r="AC54" i="62" s="1"/>
  <c r="K54" i="62"/>
  <c r="U39" i="62"/>
  <c r="G39" i="62"/>
  <c r="Z119" i="62"/>
  <c r="V34" i="62"/>
  <c r="H34" i="62"/>
  <c r="Z39" i="62"/>
  <c r="I29" i="62"/>
  <c r="X29" i="62" s="1"/>
  <c r="W29" i="62"/>
  <c r="H144" i="62" l="1"/>
  <c r="V144" i="62"/>
  <c r="W139" i="62"/>
  <c r="I139" i="62"/>
  <c r="X139" i="62" s="1"/>
  <c r="G149" i="62"/>
  <c r="U149" i="62"/>
  <c r="W34" i="62"/>
  <c r="I34" i="62"/>
  <c r="X34" i="62" s="1"/>
  <c r="V39" i="62"/>
  <c r="H39" i="62"/>
  <c r="Z54" i="62"/>
  <c r="N59" i="62"/>
  <c r="AC59" i="62" s="1"/>
  <c r="K59" i="62"/>
  <c r="F59" i="62"/>
  <c r="O59" i="62"/>
  <c r="AD59" i="62" s="1"/>
  <c r="J59" i="62"/>
  <c r="Y59" i="62" s="1"/>
  <c r="U54" i="62"/>
  <c r="G54" i="62"/>
  <c r="V149" i="62" l="1"/>
  <c r="H149" i="62"/>
  <c r="I144" i="62"/>
  <c r="X144" i="62" s="1"/>
  <c r="W144" i="62"/>
  <c r="Z59" i="62"/>
  <c r="I39" i="62"/>
  <c r="X39" i="62" s="1"/>
  <c r="W39" i="62"/>
  <c r="H54" i="62"/>
  <c r="V54" i="62"/>
  <c r="J64" i="62"/>
  <c r="Y64" i="62" s="1"/>
  <c r="N64" i="62"/>
  <c r="AC64" i="62" s="1"/>
  <c r="K64" i="62"/>
  <c r="F64" i="62"/>
  <c r="O64" i="62"/>
  <c r="AD64" i="62" s="1"/>
  <c r="G59" i="62"/>
  <c r="U59" i="62"/>
  <c r="W149" i="62" l="1"/>
  <c r="I149" i="62"/>
  <c r="X149" i="62" s="1"/>
  <c r="Z64" i="62"/>
  <c r="V59" i="62"/>
  <c r="H59" i="62"/>
  <c r="K69" i="62"/>
  <c r="N69" i="62"/>
  <c r="AC69" i="62" s="1"/>
  <c r="O69" i="62"/>
  <c r="AD69" i="62" s="1"/>
  <c r="J69" i="62"/>
  <c r="Y69" i="62" s="1"/>
  <c r="F69" i="62"/>
  <c r="U64" i="62"/>
  <c r="G64" i="62"/>
  <c r="W54" i="62"/>
  <c r="I54" i="62"/>
  <c r="X54" i="62" s="1"/>
  <c r="V64" i="62" l="1"/>
  <c r="H64" i="62"/>
  <c r="W59" i="62"/>
  <c r="I59" i="62"/>
  <c r="X59" i="62" s="1"/>
  <c r="N74" i="62"/>
  <c r="AC74" i="62" s="1"/>
  <c r="O74" i="62"/>
  <c r="AD74" i="62" s="1"/>
  <c r="J74" i="62"/>
  <c r="Y74" i="62" s="1"/>
  <c r="F74" i="62"/>
  <c r="K74" i="62"/>
  <c r="G69" i="62"/>
  <c r="U69" i="62"/>
  <c r="Z69" i="62"/>
  <c r="V69" i="62" l="1"/>
  <c r="H69" i="62"/>
  <c r="Z74" i="62"/>
  <c r="I64" i="62"/>
  <c r="X64" i="62" s="1"/>
  <c r="W64" i="62"/>
  <c r="K79" i="62"/>
  <c r="J79" i="62"/>
  <c r="Y79" i="62" s="1"/>
  <c r="N79" i="62"/>
  <c r="AC79" i="62" s="1"/>
  <c r="F79" i="62"/>
  <c r="O79" i="62"/>
  <c r="AD79" i="62" s="1"/>
  <c r="U74" i="62"/>
  <c r="G74" i="62"/>
  <c r="N94" i="62" l="1"/>
  <c r="AC94" i="62" s="1"/>
  <c r="K94" i="62"/>
  <c r="O94" i="62"/>
  <c r="AD94" i="62" s="1"/>
  <c r="J94" i="62"/>
  <c r="Y94" i="62" s="1"/>
  <c r="F94" i="62"/>
  <c r="G79" i="62"/>
  <c r="U79" i="62"/>
  <c r="I69" i="62"/>
  <c r="X69" i="62" s="1"/>
  <c r="W69" i="62"/>
  <c r="V74" i="62"/>
  <c r="H74" i="62"/>
  <c r="Z79" i="62"/>
  <c r="W74" i="62" l="1"/>
  <c r="I74" i="62"/>
  <c r="X74" i="62" s="1"/>
  <c r="V79" i="62"/>
  <c r="H79" i="62"/>
  <c r="Z94" i="62"/>
  <c r="N99" i="62"/>
  <c r="AC99" i="62" s="1"/>
  <c r="K99" i="62"/>
  <c r="F99" i="62"/>
  <c r="O99" i="62"/>
  <c r="AD99" i="62" s="1"/>
  <c r="J99" i="62"/>
  <c r="Y99" i="62" s="1"/>
  <c r="U94" i="62"/>
  <c r="G94" i="62"/>
  <c r="Z99" i="62" l="1"/>
  <c r="I79" i="62"/>
  <c r="X79" i="62" s="1"/>
  <c r="W79" i="62"/>
  <c r="V94" i="62"/>
  <c r="H94" i="62"/>
  <c r="N104" i="62"/>
  <c r="AC104" i="62" s="1"/>
  <c r="K104" i="62"/>
  <c r="J104" i="62"/>
  <c r="Y104" i="62" s="1"/>
  <c r="O104" i="62"/>
  <c r="AD104" i="62" s="1"/>
  <c r="F104" i="62"/>
  <c r="U99" i="62"/>
  <c r="G99" i="62"/>
  <c r="H99" i="62" l="1"/>
  <c r="V99" i="62"/>
  <c r="Z104" i="62"/>
  <c r="W94" i="62"/>
  <c r="I94" i="62"/>
  <c r="X94" i="62" s="1"/>
  <c r="N109" i="62"/>
  <c r="AC109" i="62" s="1"/>
  <c r="J109" i="62"/>
  <c r="Y109" i="62" s="1"/>
  <c r="K109" i="62"/>
  <c r="F109" i="62"/>
  <c r="O109" i="62"/>
  <c r="AD109" i="62" s="1"/>
  <c r="G104" i="62"/>
  <c r="U104" i="62"/>
  <c r="V104" i="62" l="1"/>
  <c r="H104" i="62"/>
  <c r="O114" i="62"/>
  <c r="F114" i="62"/>
  <c r="N114" i="62"/>
  <c r="K114" i="62"/>
  <c r="J114" i="62"/>
  <c r="U109" i="62"/>
  <c r="G109" i="62"/>
  <c r="Z109" i="62"/>
  <c r="W99" i="62"/>
  <c r="I99" i="62"/>
  <c r="X99" i="62" s="1"/>
  <c r="Z114" i="62" l="1"/>
  <c r="K45" i="62" s="1"/>
  <c r="K50" i="62" s="1"/>
  <c r="K85" i="62" s="1"/>
  <c r="K90" i="62" s="1"/>
  <c r="U114" i="62"/>
  <c r="G114" i="62"/>
  <c r="F45" i="62"/>
  <c r="F50" i="62" s="1"/>
  <c r="F85" i="62" s="1"/>
  <c r="F90" i="62" s="1"/>
  <c r="W104" i="62"/>
  <c r="I104" i="62"/>
  <c r="X104" i="62" s="1"/>
  <c r="V109" i="62"/>
  <c r="H109" i="62"/>
  <c r="Y114" i="62"/>
  <c r="J45" i="62" s="1"/>
  <c r="J50" i="62" s="1"/>
  <c r="J85" i="62" s="1"/>
  <c r="J90" i="62" s="1"/>
  <c r="AC114" i="62"/>
  <c r="AD114" i="62"/>
  <c r="W109" i="62" l="1"/>
  <c r="I109" i="62"/>
  <c r="X109" i="62" s="1"/>
  <c r="H114" i="62"/>
  <c r="V114" i="62"/>
  <c r="G45" i="62" s="1"/>
  <c r="G50" i="62" s="1"/>
  <c r="G85" i="62" s="1"/>
  <c r="G90" i="62" s="1"/>
  <c r="W114" i="62" l="1"/>
  <c r="I114" i="62"/>
  <c r="H45" i="62"/>
  <c r="H50" i="62" s="1"/>
  <c r="H85" i="62" s="1"/>
  <c r="H90" i="62" s="1"/>
  <c r="X114" i="62" l="1"/>
  <c r="I45" i="62" s="1"/>
  <c r="I50" i="62" s="1"/>
  <c r="I85" i="62" s="1"/>
  <c r="I90" i="62" s="1"/>
  <c r="G120" i="62"/>
  <c r="G125" i="62" s="1"/>
  <c r="G130" i="62" s="1"/>
  <c r="G135" i="62" s="1"/>
  <c r="G140" i="62" s="1"/>
  <c r="G145" i="62" s="1"/>
  <c r="G150" i="62" s="1"/>
  <c r="G20" i="62"/>
  <c r="G25" i="62"/>
  <c r="G30" i="62"/>
  <c r="G35" i="62"/>
  <c r="G40" i="62"/>
  <c r="G55" i="62"/>
  <c r="G60" i="62"/>
  <c r="G65" i="62"/>
  <c r="G70" i="62"/>
  <c r="G75" i="62"/>
  <c r="G80" i="62"/>
  <c r="G95" i="62"/>
  <c r="G100" i="62"/>
  <c r="G105" i="62"/>
  <c r="G110" i="62"/>
  <c r="G115" i="62"/>
  <c r="F120" i="62"/>
  <c r="F125" i="62" s="1"/>
  <c r="F130" i="62" s="1"/>
  <c r="F135" i="62" s="1"/>
  <c r="F140" i="62" s="1"/>
  <c r="F145" i="62" s="1"/>
  <c r="F150" i="62" s="1"/>
  <c r="F20" i="62"/>
  <c r="F25" i="62"/>
  <c r="F30" i="62"/>
  <c r="F35" i="62"/>
  <c r="F40" i="62"/>
  <c r="F55" i="62"/>
  <c r="F60" i="62"/>
  <c r="F65" i="62"/>
  <c r="F70" i="62"/>
  <c r="F75" i="62"/>
  <c r="F80" i="62"/>
  <c r="L119" i="62"/>
  <c r="L124" i="62" s="1"/>
  <c r="L19" i="62"/>
  <c r="M19" i="62" s="1"/>
  <c r="AB19" i="62" s="1"/>
  <c r="L24" i="62"/>
  <c r="M24" i="62" s="1"/>
  <c r="AB24" i="62" s="1"/>
  <c r="L29" i="62"/>
  <c r="M29" i="62" s="1"/>
  <c r="AB29" i="62" s="1"/>
  <c r="L34" i="62"/>
  <c r="M34" i="62" s="1"/>
  <c r="AB34" i="62" s="1"/>
  <c r="L39" i="62"/>
  <c r="M39" i="62" s="1"/>
  <c r="AB39" i="62" s="1"/>
  <c r="L54" i="62"/>
  <c r="M54" i="62" s="1"/>
  <c r="AB54" i="62" s="1"/>
  <c r="L59" i="62"/>
  <c r="M59" i="62" s="1"/>
  <c r="AB59" i="62" s="1"/>
  <c r="L64" i="62"/>
  <c r="M64" i="62" s="1"/>
  <c r="AB64" i="62" s="1"/>
  <c r="L69" i="62"/>
  <c r="M69" i="62" s="1"/>
  <c r="AB69" i="62" s="1"/>
  <c r="L74" i="62"/>
  <c r="M74" i="62" s="1"/>
  <c r="AB74" i="62" s="1"/>
  <c r="L79" i="62"/>
  <c r="M79" i="62" s="1"/>
  <c r="AB79" i="62" s="1"/>
  <c r="L94" i="62"/>
  <c r="M94" i="62" s="1"/>
  <c r="AB94" i="62" s="1"/>
  <c r="L99" i="62"/>
  <c r="M99" i="62" s="1"/>
  <c r="AB99" i="62" s="1"/>
  <c r="L104" i="62"/>
  <c r="M104" i="62" s="1"/>
  <c r="AB104" i="62" s="1"/>
  <c r="L109" i="62"/>
  <c r="M109" i="62" s="1"/>
  <c r="AB109" i="62" s="1"/>
  <c r="L114" i="62"/>
  <c r="M114" i="62" s="1"/>
  <c r="AB114" i="62" s="1"/>
  <c r="I120" i="62"/>
  <c r="I125" i="62" s="1"/>
  <c r="I130" i="62" s="1"/>
  <c r="I135" i="62" s="1"/>
  <c r="I140" i="62" s="1"/>
  <c r="I145" i="62" s="1"/>
  <c r="I150" i="62" s="1"/>
  <c r="K120" i="62"/>
  <c r="K125" i="62" s="1"/>
  <c r="K130" i="62" s="1"/>
  <c r="K135" i="62" s="1"/>
  <c r="K140" i="62" s="1"/>
  <c r="K145" i="62" s="1"/>
  <c r="K150" i="62" s="1"/>
  <c r="K20" i="62"/>
  <c r="K25" i="62"/>
  <c r="K30" i="62"/>
  <c r="K35" i="62"/>
  <c r="K40" i="62"/>
  <c r="K55" i="62"/>
  <c r="K60" i="62"/>
  <c r="K65" i="62"/>
  <c r="K70" i="62"/>
  <c r="K75" i="62"/>
  <c r="K80" i="62"/>
  <c r="K95" i="62"/>
  <c r="K100" i="62"/>
  <c r="K105" i="62"/>
  <c r="K110" i="62"/>
  <c r="K115" i="62"/>
  <c r="H120" i="62"/>
  <c r="H125" i="62" s="1"/>
  <c r="H130" i="62" s="1"/>
  <c r="H135" i="62" s="1"/>
  <c r="H140" i="62" s="1"/>
  <c r="H145" i="62" s="1"/>
  <c r="H150" i="62" s="1"/>
  <c r="I30" i="62"/>
  <c r="I60" i="62"/>
  <c r="I80" i="62"/>
  <c r="I110" i="62"/>
  <c r="H20" i="62"/>
  <c r="H25" i="62"/>
  <c r="H30" i="62"/>
  <c r="H35" i="62"/>
  <c r="H40" i="62"/>
  <c r="H55" i="62"/>
  <c r="H60" i="62"/>
  <c r="H65" i="62"/>
  <c r="H70" i="62"/>
  <c r="H75" i="62"/>
  <c r="H80" i="62"/>
  <c r="H95" i="62"/>
  <c r="H100" i="62"/>
  <c r="H105" i="62"/>
  <c r="H110" i="62"/>
  <c r="H115" i="62"/>
  <c r="F95" i="62"/>
  <c r="F100" i="62"/>
  <c r="F105" i="62"/>
  <c r="F110" i="62"/>
  <c r="F115" i="62"/>
  <c r="AA19" i="62" l="1"/>
  <c r="AA69" i="62"/>
  <c r="AA79" i="62"/>
  <c r="I100" i="62"/>
  <c r="I70" i="62"/>
  <c r="I40" i="62"/>
  <c r="I20" i="62"/>
  <c r="I115" i="62"/>
  <c r="I105" i="62"/>
  <c r="I95" i="62"/>
  <c r="I75" i="62"/>
  <c r="I65" i="62"/>
  <c r="I55" i="62"/>
  <c r="I35" i="62"/>
  <c r="I25" i="62"/>
  <c r="AA119" i="62"/>
  <c r="AA29" i="62"/>
  <c r="AA59" i="62"/>
  <c r="AA99" i="62"/>
  <c r="AA39" i="62"/>
  <c r="AA109" i="62"/>
  <c r="AA34" i="62"/>
  <c r="AA104" i="62"/>
  <c r="AA74" i="62"/>
  <c r="AA94" i="62"/>
  <c r="AA114" i="62"/>
  <c r="AA24" i="62"/>
  <c r="AA54" i="62"/>
  <c r="AA64" i="62"/>
  <c r="M119" i="62"/>
  <c r="L129" i="62"/>
  <c r="M124" i="62"/>
  <c r="AB124" i="62" s="1"/>
  <c r="AA124" i="62"/>
  <c r="N119" i="62" l="1"/>
  <c r="AB119" i="62"/>
  <c r="M129" i="62"/>
  <c r="AB129" i="62" s="1"/>
  <c r="AA129" i="62"/>
  <c r="L134" i="62"/>
  <c r="O119" i="62" l="1"/>
  <c r="AD119" i="62" s="1"/>
  <c r="AC119" i="62"/>
  <c r="L139" i="62"/>
  <c r="M134" i="62"/>
  <c r="AB134" i="62" s="1"/>
  <c r="AA134" i="62"/>
  <c r="N45" i="62" l="1"/>
  <c r="N50" i="62" s="1"/>
  <c r="N85" i="62" s="1"/>
  <c r="N90" i="62" s="1"/>
  <c r="O45" i="62"/>
  <c r="O50" i="62" s="1"/>
  <c r="O85" i="62" s="1"/>
  <c r="O90" i="62" s="1"/>
  <c r="M139" i="62"/>
  <c r="AB139" i="62" s="1"/>
  <c r="L144" i="62"/>
  <c r="AA139" i="62"/>
  <c r="L149" i="62" l="1"/>
  <c r="AA144" i="62"/>
  <c r="M144" i="62"/>
  <c r="AB144" i="62" s="1"/>
  <c r="M149" i="62" l="1"/>
  <c r="AA149" i="62"/>
  <c r="L120" i="62" s="1"/>
  <c r="L125" i="62" s="1"/>
  <c r="L130" i="62" s="1"/>
  <c r="L135" i="62" s="1"/>
  <c r="L140" i="62" s="1"/>
  <c r="L145" i="62" s="1"/>
  <c r="L150" i="62" s="1"/>
  <c r="L85" i="62" l="1"/>
  <c r="L90" i="62" s="1"/>
  <c r="L25" i="62"/>
  <c r="L45" i="62"/>
  <c r="L50" i="62" s="1"/>
  <c r="L105" i="62"/>
  <c r="L70" i="62"/>
  <c r="L65" i="62"/>
  <c r="L30" i="62"/>
  <c r="L110" i="62"/>
  <c r="L95" i="62"/>
  <c r="L60" i="62"/>
  <c r="L115" i="62"/>
  <c r="L80" i="62"/>
  <c r="L55" i="62"/>
  <c r="L20" i="62"/>
  <c r="L100" i="62"/>
  <c r="L75" i="62"/>
  <c r="L40" i="62"/>
  <c r="L35" i="62"/>
  <c r="AB149" i="62"/>
  <c r="M120" i="62" s="1"/>
  <c r="M125" i="62" s="1"/>
  <c r="M130" i="62" s="1"/>
  <c r="M135" i="62" s="1"/>
  <c r="M140" i="62" s="1"/>
  <c r="M145" i="62" s="1"/>
  <c r="M150" i="62" s="1"/>
  <c r="J120" i="62"/>
  <c r="J125" i="62"/>
  <c r="J130" i="62"/>
  <c r="J135" i="62"/>
  <c r="J140" i="62"/>
  <c r="J145" i="62"/>
  <c r="J150" i="62"/>
  <c r="J20" i="62"/>
  <c r="J25" i="62"/>
  <c r="J30" i="62"/>
  <c r="J35" i="62"/>
  <c r="J40" i="62"/>
  <c r="J55" i="62"/>
  <c r="J60" i="62"/>
  <c r="J65" i="62"/>
  <c r="J70" i="62"/>
  <c r="J75" i="62"/>
  <c r="J80" i="62"/>
  <c r="J95" i="62"/>
  <c r="J100" i="62"/>
  <c r="J105" i="62"/>
  <c r="J110" i="62"/>
  <c r="J115" i="62"/>
  <c r="N120" i="62"/>
  <c r="N125" i="62"/>
  <c r="N130" i="62"/>
  <c r="N135" i="62"/>
  <c r="N140" i="62"/>
  <c r="N145" i="62"/>
  <c r="N150" i="62"/>
  <c r="N20" i="62"/>
  <c r="N25" i="62"/>
  <c r="N30" i="62"/>
  <c r="N35" i="62"/>
  <c r="N40" i="62"/>
  <c r="N55" i="62"/>
  <c r="N60" i="62"/>
  <c r="N65" i="62"/>
  <c r="N70" i="62"/>
  <c r="N75" i="62"/>
  <c r="N80" i="62"/>
  <c r="N95" i="62"/>
  <c r="N100" i="62"/>
  <c r="N105" i="62"/>
  <c r="N110" i="62"/>
  <c r="N115" i="62"/>
  <c r="O120" i="62"/>
  <c r="O125" i="62"/>
  <c r="O130" i="62"/>
  <c r="O135" i="62"/>
  <c r="O140" i="62"/>
  <c r="O145" i="62"/>
  <c r="O150" i="62"/>
  <c r="O20" i="62"/>
  <c r="O25" i="62"/>
  <c r="O30" i="62"/>
  <c r="O35" i="62"/>
  <c r="O40" i="62"/>
  <c r="O55" i="62"/>
  <c r="O60" i="62"/>
  <c r="O65" i="62"/>
  <c r="O70" i="62"/>
  <c r="O75" i="62"/>
  <c r="O80" i="62"/>
  <c r="O95" i="62"/>
  <c r="O100" i="62"/>
  <c r="O105" i="62"/>
  <c r="O110" i="62"/>
  <c r="O115" i="62"/>
  <c r="M45" i="62" l="1"/>
  <c r="M25" i="62"/>
  <c r="M60" i="62"/>
  <c r="M75" i="62"/>
  <c r="M110" i="62"/>
  <c r="M30" i="62"/>
  <c r="M115" i="62"/>
  <c r="M35" i="62"/>
  <c r="M90" i="62"/>
  <c r="M40" i="62"/>
  <c r="M95" i="62"/>
  <c r="M100" i="62"/>
  <c r="M85" i="62"/>
  <c r="M65" i="62"/>
  <c r="M70" i="62"/>
  <c r="M20" i="62"/>
  <c r="M55" i="62"/>
  <c r="M80" i="62"/>
  <c r="M50" i="62"/>
  <c r="M105" i="62"/>
</calcChain>
</file>

<file path=xl/sharedStrings.xml><?xml version="1.0" encoding="utf-8"?>
<sst xmlns="http://schemas.openxmlformats.org/spreadsheetml/2006/main" count="3425" uniqueCount="465">
  <si>
    <t xml:space="preserve">Дата </t>
  </si>
  <si>
    <t>Разряд</t>
  </si>
  <si>
    <t>Тренеры</t>
  </si>
  <si>
    <t>Ведомство</t>
  </si>
  <si>
    <t xml:space="preserve">Фамилия, имя участника                         </t>
  </si>
  <si>
    <t>Дата рожд.</t>
  </si>
  <si>
    <t>№ участ</t>
  </si>
  <si>
    <t>Лично</t>
  </si>
  <si>
    <t>Команда</t>
  </si>
  <si>
    <t>Организация</t>
  </si>
  <si>
    <t>ВСЕРОССИЙСКАЯ ФЕДЕРАЦИЯ ЛЕГКОЙ АТЛЕТИКИ</t>
  </si>
  <si>
    <t>ИТОГОВЫЙ ПРОТОКОЛ</t>
  </si>
  <si>
    <t>СТАРТОВЫЙ ПРОТОКОЛ</t>
  </si>
  <si>
    <t>РМ</t>
  </si>
  <si>
    <t>РЕ</t>
  </si>
  <si>
    <t>РР</t>
  </si>
  <si>
    <t>Фамилия, имя</t>
  </si>
  <si>
    <t>Высота</t>
  </si>
  <si>
    <t>Копье</t>
  </si>
  <si>
    <t>Результат</t>
  </si>
  <si>
    <t>№</t>
  </si>
  <si>
    <t>Забег 1</t>
  </si>
  <si>
    <t>Скрыть</t>
  </si>
  <si>
    <t>при</t>
  </si>
  <si>
    <t>печати</t>
  </si>
  <si>
    <t>Ветер</t>
  </si>
  <si>
    <t>Длина</t>
  </si>
  <si>
    <t>Ядро</t>
  </si>
  <si>
    <t>Рез</t>
  </si>
  <si>
    <t>Очки</t>
  </si>
  <si>
    <t>Время</t>
  </si>
  <si>
    <t>р1</t>
  </si>
  <si>
    <t>р2</t>
  </si>
  <si>
    <t>р3</t>
  </si>
  <si>
    <t>в1</t>
  </si>
  <si>
    <t>в2</t>
  </si>
  <si>
    <t>в3</t>
  </si>
  <si>
    <t>Мес</t>
  </si>
  <si>
    <t>Многоборья</t>
  </si>
  <si>
    <t>Опыт описания работы с таблицами по многоборьям</t>
  </si>
  <si>
    <t>Участники</t>
  </si>
  <si>
    <t>Участники должны быть расположены в порядке возрастания нагрудных номеров</t>
  </si>
  <si>
    <t>Для упрощения ввода информации разделительные точки и запятые не ставятся.</t>
  </si>
  <si>
    <t>При распечатке стартового протокола скрыть строку ИТОГОВЫЙ ПРОТОКОЛ</t>
  </si>
  <si>
    <t>При распечатке стартового или итогового протокола скрыть столбцы ввода данных (минус на поле вверху)</t>
  </si>
  <si>
    <t>Данные вводятся в столбцы выделенные желтым</t>
  </si>
  <si>
    <t>Открытие этих столбцов (плюс на поле вверху)</t>
  </si>
  <si>
    <t>В прыжках и метаниях убрать лишние строки</t>
  </si>
  <si>
    <t>Расписание</t>
  </si>
  <si>
    <t>Введите название проводящих организаций, даты, расписание по видам</t>
  </si>
  <si>
    <r>
      <t xml:space="preserve">В </t>
    </r>
    <r>
      <rPr>
        <b/>
        <sz val="12"/>
        <rFont val="Arial Unicode MS"/>
        <family val="2"/>
        <charset val="204"/>
      </rPr>
      <t>виде</t>
    </r>
    <r>
      <rPr>
        <sz val="12"/>
        <rFont val="Arial Unicode MS"/>
        <family val="2"/>
        <charset val="204"/>
      </rPr>
      <t xml:space="preserve"> итоговый протокол сортировать </t>
    </r>
    <r>
      <rPr>
        <b/>
        <sz val="12"/>
        <rFont val="Arial Unicode MS"/>
        <family val="2"/>
        <charset val="204"/>
      </rPr>
      <t>по месту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отдельно</t>
    </r>
    <r>
      <rPr>
        <sz val="12"/>
        <rFont val="Arial Unicode MS"/>
        <family val="2"/>
        <charset val="204"/>
      </rPr>
      <t xml:space="preserve"> внутри </t>
    </r>
    <r>
      <rPr>
        <b/>
        <sz val="12"/>
        <rFont val="Arial Unicode MS"/>
        <family val="2"/>
        <charset val="204"/>
      </rPr>
      <t>каждого</t>
    </r>
    <r>
      <rPr>
        <sz val="12"/>
        <rFont val="Arial Unicode MS"/>
        <family val="2"/>
        <charset val="204"/>
      </rPr>
      <t xml:space="preserve"> забега и группы</t>
    </r>
  </si>
  <si>
    <r>
      <t>Если сортировка</t>
    </r>
    <r>
      <rPr>
        <b/>
        <sz val="12"/>
        <rFont val="Arial Unicode MS"/>
        <family val="2"/>
        <charset val="204"/>
      </rPr>
      <t xml:space="preserve"> в бегах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при одинаковых очках</t>
    </r>
    <r>
      <rPr>
        <sz val="12"/>
        <rFont val="Arial Unicode MS"/>
        <family val="2"/>
        <charset val="204"/>
      </rPr>
      <t xml:space="preserve"> неправильно расставляет по времени -</t>
    </r>
    <r>
      <rPr>
        <b/>
        <sz val="12"/>
        <rFont val="Arial Unicode MS"/>
        <family val="2"/>
        <charset val="204"/>
      </rPr>
      <t xml:space="preserve"> расставляйте места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вручную</t>
    </r>
  </si>
  <si>
    <t>Сводный</t>
  </si>
  <si>
    <t>Сводный пока не работает</t>
  </si>
  <si>
    <r>
      <t>Поменяйте</t>
    </r>
    <r>
      <rPr>
        <sz val="12"/>
        <rFont val="Arial Unicode MS"/>
        <family val="2"/>
        <charset val="204"/>
      </rPr>
      <t xml:space="preserve"> в Высоте и Шесте </t>
    </r>
    <r>
      <rPr>
        <b/>
        <sz val="12"/>
        <rFont val="Arial Unicode MS"/>
        <family val="2"/>
        <charset val="204"/>
      </rPr>
      <t>высоты</t>
    </r>
    <r>
      <rPr>
        <sz val="12"/>
        <rFont val="Arial Unicode MS"/>
        <family val="2"/>
        <charset val="204"/>
      </rPr>
      <t xml:space="preserve"> согласно регламента</t>
    </r>
  </si>
  <si>
    <t>При распечатке стартового протокола изменяемые данные на белом фоне дайте белым цветом шрифта</t>
  </si>
  <si>
    <t>При распечатке итогового протокола скрыть строку СТАРТОВЫЙ ПРОТОКОЛ</t>
  </si>
  <si>
    <t>Виды</t>
  </si>
  <si>
    <t>Прежде всего сохраните данный файл под другим, удобным для Вас, именем</t>
  </si>
  <si>
    <t>Место</t>
  </si>
  <si>
    <t>МС</t>
  </si>
  <si>
    <t>КМС</t>
  </si>
  <si>
    <t>МСМК</t>
  </si>
  <si>
    <t>Забег 2</t>
  </si>
  <si>
    <t>Забег 3</t>
  </si>
  <si>
    <t>Оч. ком</t>
  </si>
  <si>
    <t>б/р</t>
  </si>
  <si>
    <t>Жер</t>
  </si>
  <si>
    <t xml:space="preserve"> </t>
  </si>
  <si>
    <t>Диск</t>
  </si>
  <si>
    <t>Шест</t>
  </si>
  <si>
    <t>100м</t>
  </si>
  <si>
    <t>400м</t>
  </si>
  <si>
    <t>110м с/б</t>
  </si>
  <si>
    <t>1500м</t>
  </si>
  <si>
    <t>110сб</t>
  </si>
  <si>
    <t>Бонус</t>
  </si>
  <si>
    <t>Оч</t>
  </si>
  <si>
    <t>Взр+мол</t>
  </si>
  <si>
    <t>Юниор</t>
  </si>
  <si>
    <t>МНГБ</t>
  </si>
  <si>
    <t>Взр</t>
  </si>
  <si>
    <t>1 раз</t>
  </si>
  <si>
    <t>Мол</t>
  </si>
  <si>
    <t>2 раз</t>
  </si>
  <si>
    <t>ДР</t>
  </si>
  <si>
    <t>До 23 лет</t>
  </si>
  <si>
    <t>Главный судья</t>
  </si>
  <si>
    <t>Главный секретарь</t>
  </si>
  <si>
    <t xml:space="preserve">Челябинская </t>
  </si>
  <si>
    <t>Москва Ставропольский</t>
  </si>
  <si>
    <t>ТЕПТИН Евгений</t>
  </si>
  <si>
    <t>ШВСМ</t>
  </si>
  <si>
    <t>ГРИГОРЬЕВ Иван</t>
  </si>
  <si>
    <t>СВИРИДОВ Сергей</t>
  </si>
  <si>
    <t>ЧЕРНОВ Евгений</t>
  </si>
  <si>
    <t>справка</t>
  </si>
  <si>
    <t>Вет</t>
  </si>
  <si>
    <t>Сум</t>
  </si>
  <si>
    <t>Забег 4</t>
  </si>
  <si>
    <t>ЦСП</t>
  </si>
  <si>
    <t>Мужчины</t>
  </si>
  <si>
    <t>КРАВЦОВ Алексей</t>
  </si>
  <si>
    <t>Усова В.Г.</t>
  </si>
  <si>
    <t>Промежуточные результаы</t>
  </si>
  <si>
    <t>бм</t>
  </si>
  <si>
    <t>20+5</t>
  </si>
  <si>
    <t>снят.вр</t>
  </si>
  <si>
    <t>Е.Ф. Пешков ВК Краснодар</t>
  </si>
  <si>
    <t>Е.В. Пешкова ВК Краснодар</t>
  </si>
  <si>
    <t>кто проводит</t>
  </si>
  <si>
    <t>название</t>
  </si>
  <si>
    <t>где</t>
  </si>
  <si>
    <t>Вид</t>
  </si>
  <si>
    <t>Пол</t>
  </si>
  <si>
    <t>сн.вр.</t>
  </si>
  <si>
    <t>лично</t>
  </si>
  <si>
    <t>Юниоры до 23 лет</t>
  </si>
  <si>
    <t>ИТОГОВЫЕ ПРОТОКОЛЫ</t>
  </si>
  <si>
    <t>МИНИСТЕРСТВО СПОРТА РОССИЙСКОЙ ФЕДЕРАЦИИ</t>
  </si>
  <si>
    <t>1 оч</t>
  </si>
  <si>
    <t xml:space="preserve">Липецкая </t>
  </si>
  <si>
    <t>ЛИЯСКИН Алексей</t>
  </si>
  <si>
    <t>НОВИЦКИЙ Ярослав</t>
  </si>
  <si>
    <t>ТИМШИН Сергей</t>
  </si>
  <si>
    <t>Москва Липецкая</t>
  </si>
  <si>
    <t>Забег 5</t>
  </si>
  <si>
    <t>П.Ф. Безъязычный ВК Краснодар</t>
  </si>
  <si>
    <t>Е.Ю. Клочкова ВК Волгоград</t>
  </si>
  <si>
    <t>Для</t>
  </si>
  <si>
    <t>3ю</t>
  </si>
  <si>
    <t>2ю</t>
  </si>
  <si>
    <t>1ю</t>
  </si>
  <si>
    <t>Мнгб</t>
  </si>
  <si>
    <t>оч/мес</t>
  </si>
  <si>
    <t>оч/раз</t>
  </si>
  <si>
    <t>мол</t>
  </si>
  <si>
    <t>#</t>
  </si>
  <si>
    <t>М</t>
  </si>
  <si>
    <t>П</t>
  </si>
  <si>
    <t>МЛ</t>
  </si>
  <si>
    <t>ЧЕРКАСОВ Алексей</t>
  </si>
  <si>
    <t>САРАНЦЕВ Евгений</t>
  </si>
  <si>
    <t>ТАБАЛА Александр</t>
  </si>
  <si>
    <t>МАВРИН Лев</t>
  </si>
  <si>
    <t>КОРОЛЕВ Максим</t>
  </si>
  <si>
    <t>Краснодарский-2</t>
  </si>
  <si>
    <t xml:space="preserve">Ульяновская </t>
  </si>
  <si>
    <t>Санкт-Петербург-1 Удмуртская</t>
  </si>
  <si>
    <t>Санкт-Петербург-1</t>
  </si>
  <si>
    <t>Санкт-Петербург-2</t>
  </si>
  <si>
    <t xml:space="preserve">Волгоградская </t>
  </si>
  <si>
    <t>ЦРЛА</t>
  </si>
  <si>
    <t>Залевская И.И. Овчинников Ю.В.</t>
  </si>
  <si>
    <t>Кислых А.Г. Свиридов П.В.</t>
  </si>
  <si>
    <t>Смирнов В.Ф. Чернов С.А.</t>
  </si>
  <si>
    <t>Котова Т.В.</t>
  </si>
  <si>
    <t>Шемякина Г.В. Смирнов В.Ф.</t>
  </si>
  <si>
    <t>Чистов С.А. Иванов Д.А.</t>
  </si>
  <si>
    <t>Куцевая Л.А.</t>
  </si>
  <si>
    <t>Дмитриев И.В. Ерёменко А.В.</t>
  </si>
  <si>
    <t>Зацеляпин М.И. Каратаев Н.Д.</t>
  </si>
  <si>
    <t>лич</t>
  </si>
  <si>
    <t>п.163.2</t>
  </si>
  <si>
    <t>снят</t>
  </si>
  <si>
    <t>ня</t>
  </si>
  <si>
    <t>л</t>
  </si>
  <si>
    <t>МЕСЯЦЕВ Владислав</t>
  </si>
  <si>
    <t>ЦСП Л/А</t>
  </si>
  <si>
    <t>ФРОЛОВ Александр</t>
  </si>
  <si>
    <t>ЦСП по Л/А</t>
  </si>
  <si>
    <t>Краснодарский</t>
  </si>
  <si>
    <t>ЮМ СШОР им.Знаменских</t>
  </si>
  <si>
    <t>МУРАВЬЕВ Виталий</t>
  </si>
  <si>
    <t>Красноярский</t>
  </si>
  <si>
    <t>АЛВС</t>
  </si>
  <si>
    <t>КОНДРАТЬЕВ Роман</t>
  </si>
  <si>
    <t>АЛА, КОР-1</t>
  </si>
  <si>
    <t>АЛА,КОР-1</t>
  </si>
  <si>
    <t>ДЕРГУНОВ Василий</t>
  </si>
  <si>
    <t>Санкт-Петербург-2 Псковская</t>
  </si>
  <si>
    <t>КОР-1, СК Алексеева</t>
  </si>
  <si>
    <t>ЗАРОВНЯТНЫХ Ярослав</t>
  </si>
  <si>
    <t>Санкт-Петербург-3</t>
  </si>
  <si>
    <t>АЛА</t>
  </si>
  <si>
    <t>ГОНЧАРУК Артем</t>
  </si>
  <si>
    <t>СДЮСШОР-6</t>
  </si>
  <si>
    <t>МЦСП</t>
  </si>
  <si>
    <t>Краснодарский-1 Волгоградская</t>
  </si>
  <si>
    <t>ЛИХАНОВ Евгений</t>
  </si>
  <si>
    <t>Москва Красноярский</t>
  </si>
  <si>
    <t>ЦСП ЛА</t>
  </si>
  <si>
    <t>Кемеровская-1 Санкт-Петербург-3</t>
  </si>
  <si>
    <t>ЦСП СК КО,УОР,СибГИУ,СДЮШОР-ШВСМ</t>
  </si>
  <si>
    <t>ВЕШКУРЦЕВ Вячеслав</t>
  </si>
  <si>
    <t>Омская</t>
  </si>
  <si>
    <t>ЦСП-Омск</t>
  </si>
  <si>
    <t>Удмуртская Санкт-Петербург</t>
  </si>
  <si>
    <t>СК Алексеева, АЛА</t>
  </si>
  <si>
    <t>ЗИКЕЕВ Дмитрий</t>
  </si>
  <si>
    <t>СДЮСШОР им.Мосеева</t>
  </si>
  <si>
    <t>КИСЕЛЬКОВ Федор</t>
  </si>
  <si>
    <t>Приморский</t>
  </si>
  <si>
    <t>ШВСМ УОР</t>
  </si>
  <si>
    <t>МАЙДАНЧИК Рефаил</t>
  </si>
  <si>
    <t xml:space="preserve">Татарстан </t>
  </si>
  <si>
    <t>СДЮСШОР</t>
  </si>
  <si>
    <t>МУРАШОВ Александр</t>
  </si>
  <si>
    <t>Москва Кемеровская</t>
  </si>
  <si>
    <t>ЮМ,ОСДЮШОР,БГУОР</t>
  </si>
  <si>
    <t>СДЮСШОР-1</t>
  </si>
  <si>
    <t>инд</t>
  </si>
  <si>
    <t>Смирнов В.Ф. Тищенко Н.А.</t>
  </si>
  <si>
    <t>Фролов В.И. Фролова Н.Н.</t>
  </si>
  <si>
    <t>Желанов С.В. Клюжев Б.А.</t>
  </si>
  <si>
    <t>Филатова Л.А. Граудынь В.В. Апайчева А.В.</t>
  </si>
  <si>
    <t>Артемьев П.П.</t>
  </si>
  <si>
    <t>Чистов С.А. Кондратьев Р.В.</t>
  </si>
  <si>
    <t>Иванов Д.А.</t>
  </si>
  <si>
    <t>Радух А.О. Нестерова И.А.</t>
  </si>
  <si>
    <t xml:space="preserve">Гребенщиков И.И.  </t>
  </si>
  <si>
    <t>Чистов В.А. Еременко А.В.</t>
  </si>
  <si>
    <t>Вадюнина Н.А.</t>
  </si>
  <si>
    <t>Жульков Ю.А.</t>
  </si>
  <si>
    <t>Табала А.И.</t>
  </si>
  <si>
    <t>Лободин Л.А. Дельников В.И.</t>
  </si>
  <si>
    <t xml:space="preserve">Полосухин К.А. </t>
  </si>
  <si>
    <t>Колмаков С.В. Савинская Н.М.</t>
  </si>
  <si>
    <t>Чистов С.А. Алабужев А.Е.</t>
  </si>
  <si>
    <t>Пугач С.В. Шалонниокв А.П.</t>
  </si>
  <si>
    <t>Кузина Т.Н. Загинай Ю.А.</t>
  </si>
  <si>
    <t>Стегачев И.Н. Фролов С.В.</t>
  </si>
  <si>
    <t>Яшины А.Н. Яшина Ж.Л.</t>
  </si>
  <si>
    <t>Новиков В.Н. Желанов В.С.</t>
  </si>
  <si>
    <t>Ермолаев С.В. Гангало Н.Н.</t>
  </si>
  <si>
    <t>ТАРАСОВ Виталий</t>
  </si>
  <si>
    <t>Дроздов А.В.</t>
  </si>
  <si>
    <t>ЧАБАН Никита</t>
  </si>
  <si>
    <t>сошел</t>
  </si>
  <si>
    <t>не явка</t>
  </si>
  <si>
    <t>баранка</t>
  </si>
  <si>
    <t>-3</t>
  </si>
  <si>
    <t>ноль</t>
  </si>
  <si>
    <t>фролов</t>
  </si>
  <si>
    <t>макаренко</t>
  </si>
  <si>
    <t>15+0+5</t>
  </si>
  <si>
    <t>В.Н. Пшеничнов ВК Ростов-а-Дону</t>
  </si>
  <si>
    <t>бег 100 м</t>
  </si>
  <si>
    <t>прыжок в длину</t>
  </si>
  <si>
    <t>прыжок в высоту</t>
  </si>
  <si>
    <t>бег 400 м</t>
  </si>
  <si>
    <t>прыжок с шестом</t>
  </si>
  <si>
    <t>бег 1500 м</t>
  </si>
  <si>
    <t>Начало:</t>
  </si>
  <si>
    <t>Окончание:</t>
  </si>
  <si>
    <t>толкание ядра (7,26 кг)</t>
  </si>
  <si>
    <t>бег с барьерами 110 м (1,067 м)</t>
  </si>
  <si>
    <t>метание диска (2,0 кг)</t>
  </si>
  <si>
    <t>метание копья (800 г)</t>
  </si>
  <si>
    <t>Дорожка</t>
  </si>
  <si>
    <t>№ п/п</t>
  </si>
  <si>
    <t>г.Сочи, Адлерский район, стадион "Юность"</t>
  </si>
  <si>
    <t>мужчины и юниоры до 23 лет</t>
  </si>
  <si>
    <t>юниоры до 23 лет</t>
  </si>
  <si>
    <t>PM    8617</t>
  </si>
  <si>
    <t>PE     8617</t>
  </si>
  <si>
    <t>PP     8365</t>
  </si>
  <si>
    <t>t° +13 вл.86%</t>
  </si>
  <si>
    <t xml:space="preserve">бег с барьерами 110 м </t>
  </si>
  <si>
    <t>толкание ядра</t>
  </si>
  <si>
    <t>метание диска</t>
  </si>
  <si>
    <t>метание копья</t>
  </si>
  <si>
    <t>Нагрудный №</t>
  </si>
  <si>
    <t>Фамилия, имя участника                                       Территория, ФСО, Тренер</t>
  </si>
  <si>
    <t>Дата     рождения   Вып-ый раз-д</t>
  </si>
  <si>
    <t>Командные очки</t>
  </si>
  <si>
    <t>Сумма очков</t>
  </si>
  <si>
    <t>бег      100 м</t>
  </si>
  <si>
    <t>бег      400 м</t>
  </si>
  <si>
    <t>бег       1500 м</t>
  </si>
  <si>
    <t>мужчины</t>
  </si>
  <si>
    <t>Королёв Максим</t>
  </si>
  <si>
    <t>06.01.1988</t>
  </si>
  <si>
    <t>Лукьяненко Артём</t>
  </si>
  <si>
    <t>30.01.1990</t>
  </si>
  <si>
    <t>Чернов Евгений</t>
  </si>
  <si>
    <t>09.11.1991</t>
  </si>
  <si>
    <t>Гончарук Артём</t>
  </si>
  <si>
    <t>07.01.1992</t>
  </si>
  <si>
    <t>Тимшин Сергей</t>
  </si>
  <si>
    <t>25.11.1992</t>
  </si>
  <si>
    <t>Шестопалов Феликс</t>
  </si>
  <si>
    <t>11.03.1996</t>
  </si>
  <si>
    <t>Игнашев Владимир</t>
  </si>
  <si>
    <t>05.10.1996</t>
  </si>
  <si>
    <t>Липецкая область</t>
  </si>
  <si>
    <t>Краснодарский край</t>
  </si>
  <si>
    <t>Ульяновская область</t>
  </si>
  <si>
    <t>Ростовская область</t>
  </si>
  <si>
    <t>ГБУ ЛО ОК СШОР</t>
  </si>
  <si>
    <t>Желанов С.В., Сретенцев В.В.</t>
  </si>
  <si>
    <t>Чернов С.А., Мирошниченко В.И., Чернова Т.С.</t>
  </si>
  <si>
    <t>Мирошниченко В.И., Журавлева Т.В.</t>
  </si>
  <si>
    <t>Болдырева И.А., Сретенцев В.В.</t>
  </si>
  <si>
    <t>Слаква Максим</t>
  </si>
  <si>
    <t>10.05.1998</t>
  </si>
  <si>
    <t>Хамедов Игорь</t>
  </si>
  <si>
    <t>30.05.1998</t>
  </si>
  <si>
    <t>Мазикин Алексей</t>
  </si>
  <si>
    <t>05.06.1998</t>
  </si>
  <si>
    <t>Бочаринский Данила</t>
  </si>
  <si>
    <t>12.01.1999</t>
  </si>
  <si>
    <t>Переварюха Артём</t>
  </si>
  <si>
    <t>21.05.1999</t>
  </si>
  <si>
    <t>Гасленко Кирилл</t>
  </si>
  <si>
    <t>Ставропольский край</t>
  </si>
  <si>
    <t>Кемеровская область</t>
  </si>
  <si>
    <t>1</t>
  </si>
  <si>
    <t>Быков И.С., Чернявская Ю.В., Ляпин И.М.</t>
  </si>
  <si>
    <t>Чернявская Ю.В., Быков И.С., Ляпин И.М.</t>
  </si>
  <si>
    <t>Болдырева И.А.</t>
  </si>
  <si>
    <t>Лияскин А.С., Смирнов В.Ф., Пугач С.В.</t>
  </si>
  <si>
    <t>по многоборью</t>
  </si>
  <si>
    <t>1-й поток</t>
  </si>
  <si>
    <t>2-й поток</t>
  </si>
  <si>
    <t>Секретарь:</t>
  </si>
  <si>
    <t>Ст. хронометрист:</t>
  </si>
  <si>
    <t>Рефери по бегу:</t>
  </si>
  <si>
    <t>№ дорожки</t>
  </si>
  <si>
    <t>Фамилия, имя                             участника</t>
  </si>
  <si>
    <t>Дата     рождения</t>
  </si>
  <si>
    <t>Территория</t>
  </si>
  <si>
    <t>Старший судья:</t>
  </si>
  <si>
    <t>Рефери:</t>
  </si>
  <si>
    <t>ПОТОК 1</t>
  </si>
  <si>
    <t>ПОТОК 2</t>
  </si>
  <si>
    <t>19.05.2019 г.</t>
  </si>
  <si>
    <t>R/med</t>
  </si>
  <si>
    <t>DNF</t>
  </si>
  <si>
    <t>Главный судья соревнований</t>
  </si>
  <si>
    <t>А.В.Грудинин / ССВК/ г. Шахты</t>
  </si>
  <si>
    <t>Главный секретарь соревнований</t>
  </si>
  <si>
    <t>Г.В.Лацвиева / ССВК/ г. Шахты</t>
  </si>
  <si>
    <t>t° +23 вл.48%</t>
  </si>
  <si>
    <t>t° +20 вл.79%</t>
  </si>
  <si>
    <t>DnS</t>
  </si>
  <si>
    <t>DQ(162,7)</t>
  </si>
  <si>
    <t>DNS</t>
  </si>
  <si>
    <t>nm</t>
  </si>
  <si>
    <t>NM</t>
  </si>
  <si>
    <t>Фамилия, имя участника                                                                              Территория, ФСО, Тренер</t>
  </si>
  <si>
    <t>Командный чемпионат России</t>
  </si>
  <si>
    <t/>
  </si>
  <si>
    <t>Десятиборье</t>
  </si>
  <si>
    <t xml:space="preserve">Ростовская область  </t>
  </si>
  <si>
    <t>ГБУ РО "СШОР №8" г.Ростов-на-Дону</t>
  </si>
  <si>
    <t xml:space="preserve">Краснодарский край  </t>
  </si>
  <si>
    <t>ГБУ КК "ЦОП по легкой атлетике", ГБУ КК  "РЦСП по легкой атлетике"</t>
  </si>
  <si>
    <t xml:space="preserve">Липецкая область  </t>
  </si>
  <si>
    <r>
      <t xml:space="preserve">Стегачёв И.Н., </t>
    </r>
    <r>
      <rPr>
        <sz val="11"/>
        <color indexed="10"/>
        <rFont val="Calibri"/>
        <family val="2"/>
        <charset val="204"/>
      </rPr>
      <t>Королева К.В</t>
    </r>
    <r>
      <rPr>
        <sz val="11"/>
        <rFont val="Calibri"/>
        <family val="2"/>
        <charset val="204"/>
      </rPr>
      <t>., Фролов С.В.</t>
    </r>
  </si>
  <si>
    <t xml:space="preserve">Ульяновская область  </t>
  </si>
  <si>
    <t>МБУ ДО ДЮСШ №6</t>
  </si>
  <si>
    <t>Фомичев Андрей</t>
  </si>
  <si>
    <t>15.12.1996</t>
  </si>
  <si>
    <t xml:space="preserve">Кемеровская область  </t>
  </si>
  <si>
    <t>ГБФСУ КО "СШОР по легкой атлетике им. В.А.Савенкова", ГАУ КО "ЦП ССК"</t>
  </si>
  <si>
    <t>Хайлов С.Н., Фомичев В.Н.</t>
  </si>
  <si>
    <t>Левковский Андрей</t>
  </si>
  <si>
    <t>17.08.1997</t>
  </si>
  <si>
    <t>ГБФСУ КО "СШОР по легкой атлетике им. В.А.Савенкова"</t>
  </si>
  <si>
    <t>Канашевич А.М., Ермишина Л.И., Ермишин Г.Н.</t>
  </si>
  <si>
    <t>Соляков Федор</t>
  </si>
  <si>
    <t>08.03.1998</t>
  </si>
  <si>
    <t>Канашевич А.М., Свистич Л.И.</t>
  </si>
  <si>
    <t>МАФСУ "СШ №7"</t>
  </si>
  <si>
    <t>Черкасов Алексей</t>
  </si>
  <si>
    <t>22.10.1994</t>
  </si>
  <si>
    <t xml:space="preserve">Кемеровская область Санкт-Петербург </t>
  </si>
  <si>
    <t>МА ФСУ «СШОР по легкой атлетике», ГАУ КО "ЦП ССК", СПб ГБУ ЦОП "ШВСМ по легкой атлетике"</t>
  </si>
  <si>
    <t>Залевская И.И., Овчинников Ю.В., Полосухин К.А.</t>
  </si>
  <si>
    <t>Агапов Игорь</t>
  </si>
  <si>
    <t>29.10.1998</t>
  </si>
  <si>
    <t>Москва</t>
  </si>
  <si>
    <t xml:space="preserve">Москва  </t>
  </si>
  <si>
    <t>ГБУ "СШОР №44" Москомспорта</t>
  </si>
  <si>
    <t>Баштанов А.В.</t>
  </si>
  <si>
    <t xml:space="preserve">Москва Ростовская область </t>
  </si>
  <si>
    <t>ГБУ "ФСО "Юность Москвы" Москомспорта, ГБУ РО "ЦОП №1"</t>
  </si>
  <si>
    <t xml:space="preserve">Москва Липецкая область </t>
  </si>
  <si>
    <t>ГБУ "ФСО "Юность Москвы" Москомспорта, ГБУ ЛО ОК СШОР</t>
  </si>
  <si>
    <t>Радух А.О., Желанов С.В., Филатова Л.А.</t>
  </si>
  <si>
    <t xml:space="preserve">Ставропольский край  </t>
  </si>
  <si>
    <t>ГБУ СК "СШОР по легкой атлетике", СУОР</t>
  </si>
  <si>
    <t>ГБУ "СШОР по легкой атлетике"</t>
  </si>
  <si>
    <t xml:space="preserve">Москва Ставропольский край </t>
  </si>
  <si>
    <t>ГБУ "ФСО "Юность Москвы" Москомспорта, ГБУ СК "РЦСП"</t>
  </si>
  <si>
    <t>Белишко Владимир</t>
  </si>
  <si>
    <t>06.08.1998</t>
  </si>
  <si>
    <t>Челябинская область</t>
  </si>
  <si>
    <t xml:space="preserve">Челябинская область  </t>
  </si>
  <si>
    <t>МБУ СШОР № 2 по легкой атлетике имени Л.Н.Мосеева г.Челябинск</t>
  </si>
  <si>
    <t>Пугач С.В.</t>
  </si>
  <si>
    <t>Кузенков Кирилл</t>
  </si>
  <si>
    <t>18.02.1999</t>
  </si>
  <si>
    <t>Пугач С.В., Шогин Г.Я.</t>
  </si>
  <si>
    <t>Патес Максим</t>
  </si>
  <si>
    <t>03.05.1997</t>
  </si>
  <si>
    <r>
      <t xml:space="preserve">Пугач С.В., </t>
    </r>
    <r>
      <rPr>
        <sz val="11"/>
        <color indexed="10"/>
        <rFont val="Calibri"/>
        <family val="2"/>
        <charset val="204"/>
      </rPr>
      <t>Прохоров В.В.</t>
    </r>
  </si>
  <si>
    <t>Исаев Максим</t>
  </si>
  <si>
    <t>10.07.1997</t>
  </si>
  <si>
    <t>МБУ СШОР № 2 по легкой атлетике имени Л.Н.Мосеева г.Челябинск, УралГУФК</t>
  </si>
  <si>
    <t>Башаев Никита</t>
  </si>
  <si>
    <t>19.07.1997</t>
  </si>
  <si>
    <t>Пугач С.В., Свистун В.В.</t>
  </si>
  <si>
    <t>Елфимов Арсений</t>
  </si>
  <si>
    <t>17.09.2001</t>
  </si>
  <si>
    <t>Московская область</t>
  </si>
  <si>
    <t xml:space="preserve">Московская область Ярославская область </t>
  </si>
  <si>
    <t>ГБУ МО "ЦСП ОВС", ГУ ЯО РЦСП, МУ СШОР №2</t>
  </si>
  <si>
    <t>Лободин Л.А., Пивентьев С.А., Скулябин А.Б.</t>
  </si>
  <si>
    <t>ГБУ КК "ЦОП №1"</t>
  </si>
  <si>
    <t>Минаков Алексей</t>
  </si>
  <si>
    <t>13.07.1997</t>
  </si>
  <si>
    <t>Волгоградская область</t>
  </si>
  <si>
    <t xml:space="preserve">Волгоградская область  </t>
  </si>
  <si>
    <t>ГБУ ВО "СШОР по легкой атлетике", ВГАФК</t>
  </si>
  <si>
    <r>
      <t xml:space="preserve">Зацеляпин М.И., </t>
    </r>
    <r>
      <rPr>
        <sz val="11"/>
        <color indexed="10"/>
        <rFont val="Calibri"/>
        <family val="2"/>
        <charset val="204"/>
      </rPr>
      <t>Каратаев Н.Д.</t>
    </r>
  </si>
  <si>
    <t>Чернов Виталий</t>
  </si>
  <si>
    <t>07.08.1997</t>
  </si>
  <si>
    <t>ГБУ ВО "СШОР по легкой атлетике", ФГБОУ ВО "ВГАФК"</t>
  </si>
  <si>
    <t>Овчинников В.О., Зацеляпин М.И., Трофимов Е.В.</t>
  </si>
  <si>
    <t>Недригайло Данил</t>
  </si>
  <si>
    <t>21.09.1999</t>
  </si>
  <si>
    <t>ГБУ ВО "СШОР по легкой атлетике", ГАПОУ ВО "УОР имени дважды Героя Советского Союза А.И.Родимцева"</t>
  </si>
  <si>
    <t>Зацеляпин М.И., Мельников Е.С., Кайдалин В.С., Трофимов Е.В.</t>
  </si>
  <si>
    <t>Саранцев Евгений</t>
  </si>
  <si>
    <t>05.02.1988</t>
  </si>
  <si>
    <t xml:space="preserve">Волгоградская область Санкт-Петербург </t>
  </si>
  <si>
    <t>ГБУ ВО "СШОР по легкой атлетике"</t>
  </si>
  <si>
    <t>Зацеляпин М.И., Трофимов Е.В.</t>
  </si>
  <si>
    <t>Губанов Андрей</t>
  </si>
  <si>
    <t>22.03.1996</t>
  </si>
  <si>
    <t>Санкт-Петербург</t>
  </si>
  <si>
    <t xml:space="preserve">Санкт-Петербург Республика Карелия </t>
  </si>
  <si>
    <t>СПб ГБУ ЦОП "ШВСМ по легкой атлетике"</t>
  </si>
  <si>
    <t>Зноев С.А., Дмитриев И.В., Зноева О.М.</t>
  </si>
  <si>
    <t>Новицкий Ярослав</t>
  </si>
  <si>
    <t>04.04.1988</t>
  </si>
  <si>
    <t xml:space="preserve">Санкт-Петербург  </t>
  </si>
  <si>
    <t>Шведова А.В., Дмитриев И.В.</t>
  </si>
  <si>
    <t>Скареднов Леонид</t>
  </si>
  <si>
    <t>16.03.1997</t>
  </si>
  <si>
    <t>Дмитриев И.В., Миронов А.А., Ясюлянис В.Ф.</t>
  </si>
  <si>
    <t>Горбачёв Артём</t>
  </si>
  <si>
    <t>25.04.1998</t>
  </si>
  <si>
    <t>ВС</t>
  </si>
  <si>
    <r>
      <t xml:space="preserve">Радух А.О., Пасенков А.П., </t>
    </r>
    <r>
      <rPr>
        <sz val="11"/>
        <color indexed="10"/>
        <rFont val="Calibri"/>
        <family val="2"/>
        <charset val="204"/>
      </rPr>
      <t>Цимоха А.Г.</t>
    </r>
  </si>
  <si>
    <t>Зарипов Раиль</t>
  </si>
  <si>
    <t>25.07.1999</t>
  </si>
  <si>
    <t>Республика Татарстан</t>
  </si>
  <si>
    <t xml:space="preserve">Республика Татарстан  </t>
  </si>
  <si>
    <t>Спортивный клуб "Нефтехимик" ПАО "НКНХ"</t>
  </si>
  <si>
    <t>Носова М.Е., Захарчук Д.Г.</t>
  </si>
  <si>
    <t>04.09.2019 г.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</si>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</sst>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h:mm;@"/>
    <numFmt numFmtId="165" formatCode="0.0"/>
    <numFmt numFmtId="166" formatCode="dd/mm/yy;@"/>
  </numFmts>
  <fonts count="58" x14ac:knownFonts="1">
    <font>
      <sz val="10"/>
      <name val="Arial Unicode MS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name val="Arial Unicode MS"/>
      <family val="2"/>
      <charset val="204"/>
    </font>
    <font>
      <sz val="10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  <font>
      <sz val="12"/>
      <name val="Arial Unicode MS"/>
      <family val="2"/>
      <charset val="204"/>
    </font>
    <font>
      <sz val="8"/>
      <name val="Arial Unicode MS"/>
      <family val="2"/>
      <charset val="204"/>
    </font>
    <font>
      <b/>
      <sz val="12"/>
      <name val="Arial Unicode MS"/>
      <family val="2"/>
      <charset val="204"/>
    </font>
    <font>
      <b/>
      <i/>
      <sz val="12"/>
      <name val="Arial Unicode MS"/>
      <family val="2"/>
      <charset val="204"/>
    </font>
    <font>
      <b/>
      <sz val="12"/>
      <color indexed="10"/>
      <name val="Arial Unicode MS"/>
      <family val="2"/>
      <charset val="204"/>
    </font>
    <font>
      <b/>
      <i/>
      <sz val="10"/>
      <name val="Arial Cyr"/>
      <charset val="204"/>
    </font>
    <font>
      <i/>
      <sz val="6"/>
      <name val="Arial"/>
      <family val="2"/>
      <charset val="204"/>
    </font>
    <font>
      <b/>
      <sz val="10"/>
      <name val="Arial Unicode MS"/>
      <family val="2"/>
      <charset val="204"/>
    </font>
    <font>
      <sz val="10"/>
      <name val="Arial Unicode MS"/>
      <family val="2"/>
      <charset val="204"/>
    </font>
    <font>
      <sz val="8"/>
      <name val="Arial"/>
      <family val="2"/>
      <charset val="204"/>
    </font>
    <font>
      <b/>
      <sz val="10"/>
      <color indexed="10"/>
      <name val="Arial"/>
      <family val="2"/>
      <charset val="204"/>
    </font>
    <font>
      <b/>
      <sz val="9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b/>
      <sz val="12"/>
      <color theme="0"/>
      <name val="Arial"/>
      <family val="2"/>
      <charset val="204"/>
    </font>
    <font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theme="0"/>
      <name val="Times New Roman"/>
      <family val="1"/>
      <charset val="204"/>
    </font>
    <font>
      <b/>
      <i/>
      <sz val="9"/>
      <color theme="0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0"/>
      <color theme="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color indexed="9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9"/>
      <name val="Times New Roman"/>
      <family val="1"/>
      <charset val="204"/>
    </font>
    <font>
      <b/>
      <i/>
      <sz val="10"/>
      <color theme="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i/>
      <sz val="6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0" tint="-4.9989318521683403E-2"/>
      <name val="Times New Roman"/>
      <family val="1"/>
      <charset val="204"/>
    </font>
    <font>
      <b/>
      <i/>
      <sz val="9"/>
      <color theme="0" tint="-4.9989318521683403E-2"/>
      <name val="Times New Roman"/>
      <family val="1"/>
      <charset val="204"/>
    </font>
    <font>
      <b/>
      <sz val="10"/>
      <color theme="0" tint="-4.9989318521683403E-2"/>
      <name val="Times New Roman"/>
      <family val="1"/>
      <charset val="204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0"/>
      <name val="Calibri"/>
      <family val="2"/>
      <charset val="204"/>
    </font>
    <font>
      <b/>
      <sz val="11"/>
      <color rgb="FF00B050"/>
      <name val="Calibri"/>
      <family val="2"/>
      <charset val="204"/>
    </font>
    <font>
      <b/>
      <i/>
      <sz val="12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b/>
      <i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811">
    <xf numFmtId="0" fontId="0" fillId="0" borderId="0" xfId="0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0" xfId="0" applyFont="1"/>
    <xf numFmtId="0" fontId="7" fillId="0" borderId="0" xfId="0" applyFont="1" applyAlignment="1">
      <alignment horizontal="left"/>
    </xf>
    <xf numFmtId="0" fontId="4" fillId="2" borderId="1" xfId="0" applyFont="1" applyFill="1" applyBorder="1"/>
    <xf numFmtId="0" fontId="6" fillId="2" borderId="1" xfId="0" applyFont="1" applyFill="1" applyBorder="1" applyAlignment="1">
      <alignment horizontal="center"/>
    </xf>
    <xf numFmtId="1" fontId="4" fillId="0" borderId="0" xfId="0" applyNumberFormat="1" applyFont="1"/>
    <xf numFmtId="1" fontId="6" fillId="0" borderId="0" xfId="0" applyNumberFormat="1" applyFont="1" applyAlignment="1">
      <alignment horizontal="center"/>
    </xf>
    <xf numFmtId="0" fontId="4" fillId="2" borderId="0" xfId="0" applyFont="1" applyFill="1"/>
    <xf numFmtId="0" fontId="6" fillId="2" borderId="0" xfId="0" applyFont="1" applyFill="1" applyAlignment="1">
      <alignment horizontal="center"/>
    </xf>
    <xf numFmtId="164" fontId="6" fillId="0" borderId="0" xfId="0" applyNumberFormat="1" applyFont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8" fillId="0" borderId="0" xfId="0" applyFont="1"/>
    <xf numFmtId="0" fontId="11" fillId="0" borderId="0" xfId="0" applyFont="1"/>
    <xf numFmtId="0" fontId="10" fillId="0" borderId="0" xfId="0" applyFont="1"/>
    <xf numFmtId="0" fontId="12" fillId="0" borderId="0" xfId="0" applyFont="1"/>
    <xf numFmtId="0" fontId="0" fillId="0" borderId="0" xfId="0" applyAlignment="1">
      <alignment horizontal="left"/>
    </xf>
    <xf numFmtId="0" fontId="13" fillId="0" borderId="0" xfId="0" applyFont="1" applyAlignment="1">
      <alignment horizontal="left" wrapText="1"/>
    </xf>
    <xf numFmtId="0" fontId="2" fillId="0" borderId="9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14" fontId="14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/>
    </xf>
    <xf numFmtId="0" fontId="3" fillId="0" borderId="0" xfId="0" applyFont="1"/>
    <xf numFmtId="0" fontId="1" fillId="0" borderId="0" xfId="0" applyFont="1"/>
    <xf numFmtId="0" fontId="6" fillId="0" borderId="11" xfId="0" applyFont="1" applyBorder="1" applyAlignment="1">
      <alignment horizontal="center"/>
    </xf>
    <xf numFmtId="14" fontId="14" fillId="0" borderId="12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2" fillId="0" borderId="0" xfId="0" applyFont="1" applyAlignment="1">
      <alignment vertical="top"/>
    </xf>
    <xf numFmtId="0" fontId="16" fillId="0" borderId="0" xfId="0" applyFont="1"/>
    <xf numFmtId="0" fontId="6" fillId="0" borderId="11" xfId="0" applyFont="1" applyBorder="1" applyAlignment="1">
      <alignment horizontal="left"/>
    </xf>
    <xf numFmtId="1" fontId="6" fillId="0" borderId="11" xfId="0" applyNumberFormat="1" applyFont="1" applyBorder="1" applyAlignment="1">
      <alignment horizontal="center"/>
    </xf>
    <xf numFmtId="0" fontId="4" fillId="0" borderId="11" xfId="0" applyFont="1" applyBorder="1" applyAlignment="1">
      <alignment horizontal="left" vertical="center"/>
    </xf>
    <xf numFmtId="164" fontId="4" fillId="0" borderId="0" xfId="0" applyNumberFormat="1" applyFont="1"/>
    <xf numFmtId="0" fontId="17" fillId="2" borderId="0" xfId="0" applyFont="1" applyFill="1" applyAlignment="1">
      <alignment horizontal="left"/>
    </xf>
    <xf numFmtId="0" fontId="18" fillId="2" borderId="0" xfId="0" applyFont="1" applyFill="1"/>
    <xf numFmtId="0" fontId="2" fillId="0" borderId="19" xfId="0" applyFont="1" applyBorder="1" applyAlignment="1">
      <alignment vertical="top"/>
    </xf>
    <xf numFmtId="0" fontId="4" fillId="3" borderId="0" xfId="0" applyFont="1" applyFill="1"/>
    <xf numFmtId="0" fontId="6" fillId="3" borderId="0" xfId="0" applyFont="1" applyFill="1" applyAlignment="1">
      <alignment horizontal="center"/>
    </xf>
    <xf numFmtId="0" fontId="4" fillId="2" borderId="20" xfId="0" applyFont="1" applyFill="1" applyBorder="1"/>
    <xf numFmtId="0" fontId="6" fillId="2" borderId="15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2" fontId="4" fillId="0" borderId="8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4" fillId="0" borderId="0" xfId="0" applyFont="1" applyAlignment="1">
      <alignment horizontal="right" vertical="center"/>
    </xf>
    <xf numFmtId="14" fontId="17" fillId="0" borderId="0" xfId="0" applyNumberFormat="1" applyFont="1" applyAlignment="1">
      <alignment vertical="center"/>
    </xf>
    <xf numFmtId="0" fontId="17" fillId="0" borderId="0" xfId="0" applyFont="1" applyAlignment="1">
      <alignment horizontal="left" vertical="center"/>
    </xf>
    <xf numFmtId="165" fontId="4" fillId="0" borderId="8" xfId="0" applyNumberFormat="1" applyFont="1" applyBorder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4" fontId="17" fillId="0" borderId="0" xfId="0" applyNumberFormat="1" applyFont="1" applyAlignment="1">
      <alignment horizontal="left" vertical="center"/>
    </xf>
    <xf numFmtId="1" fontId="4" fillId="0" borderId="8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4" fontId="17" fillId="0" borderId="11" xfId="0" applyNumberFormat="1" applyFont="1" applyBorder="1" applyAlignment="1">
      <alignment vertical="center"/>
    </xf>
    <xf numFmtId="1" fontId="4" fillId="0" borderId="10" xfId="0" applyNumberFormat="1" applyFont="1" applyBorder="1" applyAlignment="1">
      <alignment horizontal="center" vertical="center"/>
    </xf>
    <xf numFmtId="1" fontId="4" fillId="0" borderId="11" xfId="0" applyNumberFormat="1" applyFont="1" applyBorder="1" applyAlignment="1">
      <alignment horizontal="center" vertical="center"/>
    </xf>
    <xf numFmtId="1" fontId="6" fillId="0" borderId="11" xfId="0" applyNumberFormat="1" applyFont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1" fontId="4" fillId="0" borderId="0" xfId="0" applyNumberFormat="1" applyFont="1" applyAlignment="1">
      <alignment vertical="center"/>
    </xf>
    <xf numFmtId="1" fontId="4" fillId="0" borderId="11" xfId="0" applyNumberFormat="1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1" fontId="4" fillId="2" borderId="0" xfId="0" applyNumberFormat="1" applyFont="1" applyFill="1" applyAlignment="1">
      <alignment horizontal="right" vertical="center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19" fillId="0" borderId="13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1" fontId="19" fillId="0" borderId="13" xfId="0" applyNumberFormat="1" applyFont="1" applyBorder="1" applyAlignment="1">
      <alignment horizontal="center"/>
    </xf>
    <xf numFmtId="1" fontId="19" fillId="0" borderId="0" xfId="0" applyNumberFormat="1" applyFont="1" applyAlignment="1">
      <alignment horizontal="center"/>
    </xf>
    <xf numFmtId="0" fontId="19" fillId="2" borderId="1" xfId="0" applyFont="1" applyFill="1" applyBorder="1" applyAlignment="1">
      <alignment horizontal="center"/>
    </xf>
    <xf numFmtId="0" fontId="19" fillId="3" borderId="1" xfId="0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1" fontId="6" fillId="0" borderId="23" xfId="0" applyNumberFormat="1" applyFont="1" applyBorder="1" applyAlignment="1">
      <alignment horizontal="center" vertical="center"/>
    </xf>
    <xf numFmtId="1" fontId="6" fillId="0" borderId="8" xfId="0" applyNumberFormat="1" applyFont="1" applyBorder="1" applyAlignment="1">
      <alignment horizontal="center" vertical="center"/>
    </xf>
    <xf numFmtId="1" fontId="6" fillId="0" borderId="10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20" fillId="0" borderId="0" xfId="0" applyFont="1" applyAlignment="1">
      <alignment horizontal="center"/>
    </xf>
    <xf numFmtId="49" fontId="2" fillId="0" borderId="1" xfId="0" applyNumberFormat="1" applyFont="1" applyBorder="1" applyAlignment="1">
      <alignment vertical="top"/>
    </xf>
    <xf numFmtId="1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6" fillId="0" borderId="30" xfId="0" applyFont="1" applyBorder="1" applyAlignment="1">
      <alignment horizontal="center" vertical="top" wrapText="1"/>
    </xf>
    <xf numFmtId="0" fontId="6" fillId="0" borderId="30" xfId="0" applyFont="1" applyBorder="1" applyAlignment="1">
      <alignment horizontal="left" vertical="top" wrapText="1"/>
    </xf>
    <xf numFmtId="166" fontId="4" fillId="0" borderId="0" xfId="0" applyNumberFormat="1" applyFont="1" applyAlignment="1">
      <alignment horizontal="left" vertical="center"/>
    </xf>
    <xf numFmtId="166" fontId="4" fillId="0" borderId="11" xfId="0" applyNumberFormat="1" applyFont="1" applyBorder="1" applyAlignment="1">
      <alignment horizontal="left" vertical="center"/>
    </xf>
    <xf numFmtId="166" fontId="17" fillId="0" borderId="0" xfId="0" applyNumberFormat="1" applyFont="1" applyAlignment="1">
      <alignment horizontal="left" vertical="center"/>
    </xf>
    <xf numFmtId="166" fontId="17" fillId="0" borderId="11" xfId="0" applyNumberFormat="1" applyFont="1" applyBorder="1" applyAlignment="1">
      <alignment horizontal="left" vertical="center"/>
    </xf>
    <xf numFmtId="0" fontId="22" fillId="0" borderId="0" xfId="0" applyFont="1" applyAlignment="1">
      <alignment horizontal="left"/>
    </xf>
    <xf numFmtId="20" fontId="4" fillId="0" borderId="31" xfId="0" applyNumberFormat="1" applyFont="1" applyBorder="1" applyAlignment="1">
      <alignment horizontal="center"/>
    </xf>
    <xf numFmtId="20" fontId="4" fillId="0" borderId="24" xfId="0" applyNumberFormat="1" applyFont="1" applyBorder="1" applyAlignment="1">
      <alignment horizontal="center" vertical="top" wrapText="1"/>
    </xf>
    <xf numFmtId="20" fontId="4" fillId="0" borderId="24" xfId="0" applyNumberFormat="1" applyFont="1" applyBorder="1" applyAlignment="1">
      <alignment horizontal="center"/>
    </xf>
    <xf numFmtId="20" fontId="4" fillId="0" borderId="32" xfId="0" applyNumberFormat="1" applyFont="1" applyBorder="1" applyAlignment="1">
      <alignment horizontal="center"/>
    </xf>
    <xf numFmtId="0" fontId="2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shrinkToFit="1"/>
    </xf>
    <xf numFmtId="0" fontId="4" fillId="0" borderId="1" xfId="0" applyFont="1" applyBorder="1" applyAlignment="1">
      <alignment horizontal="left"/>
    </xf>
    <xf numFmtId="0" fontId="20" fillId="0" borderId="1" xfId="0" applyFont="1" applyBorder="1"/>
    <xf numFmtId="14" fontId="20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left"/>
    </xf>
    <xf numFmtId="14" fontId="20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wrapText="1"/>
    </xf>
    <xf numFmtId="0" fontId="20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left"/>
    </xf>
    <xf numFmtId="0" fontId="20" fillId="0" borderId="0" xfId="0" applyFont="1"/>
    <xf numFmtId="166" fontId="4" fillId="0" borderId="1" xfId="1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top" wrapText="1"/>
    </xf>
    <xf numFmtId="166" fontId="20" fillId="3" borderId="1" xfId="1" applyNumberFormat="1" applyFont="1" applyFill="1" applyBorder="1" applyAlignment="1">
      <alignment horizontal="center" vertical="center"/>
    </xf>
    <xf numFmtId="14" fontId="20" fillId="0" borderId="1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left"/>
    </xf>
    <xf numFmtId="0" fontId="20" fillId="0" borderId="6" xfId="0" applyFont="1" applyBorder="1" applyAlignment="1">
      <alignment horizontal="left"/>
    </xf>
    <xf numFmtId="0" fontId="4" fillId="0" borderId="6" xfId="0" applyFont="1" applyBorder="1" applyAlignment="1">
      <alignment horizontal="left" vertical="top" wrapText="1"/>
    </xf>
    <xf numFmtId="0" fontId="20" fillId="0" borderId="6" xfId="0" applyFont="1" applyBorder="1" applyAlignment="1">
      <alignment horizontal="left" vertical="center"/>
    </xf>
    <xf numFmtId="0" fontId="20" fillId="0" borderId="6" xfId="0" applyFont="1" applyBorder="1"/>
    <xf numFmtId="0" fontId="6" fillId="0" borderId="35" xfId="0" applyFont="1" applyBorder="1" applyAlignment="1">
      <alignment horizontal="center" vertical="top" wrapText="1"/>
    </xf>
    <xf numFmtId="166" fontId="20" fillId="0" borderId="0" xfId="1" applyNumberFormat="1" applyFont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164" fontId="2" fillId="0" borderId="0" xfId="0" applyNumberFormat="1" applyFont="1"/>
    <xf numFmtId="0" fontId="1" fillId="0" borderId="0" xfId="0" applyFont="1" applyAlignment="1">
      <alignment horizontal="center"/>
    </xf>
    <xf numFmtId="1" fontId="1" fillId="0" borderId="0" xfId="0" applyNumberFormat="1" applyFont="1"/>
    <xf numFmtId="164" fontId="2" fillId="0" borderId="0" xfId="0" applyNumberFormat="1" applyFont="1" applyAlignment="1">
      <alignment horizontal="left"/>
    </xf>
    <xf numFmtId="164" fontId="24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24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25" fillId="0" borderId="0" xfId="0" applyFont="1" applyAlignment="1">
      <alignment horizontal="center"/>
    </xf>
    <xf numFmtId="1" fontId="25" fillId="0" borderId="0" xfId="0" applyNumberFormat="1" applyFont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3" fillId="0" borderId="0" xfId="0" applyFont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vertical="center"/>
    </xf>
    <xf numFmtId="14" fontId="26" fillId="0" borderId="1" xfId="0" applyNumberFormat="1" applyFont="1" applyBorder="1" applyAlignment="1">
      <alignment horizontal="center" vertical="center"/>
    </xf>
    <xf numFmtId="14" fontId="26" fillId="0" borderId="25" xfId="0" applyNumberFormat="1" applyFont="1" applyBorder="1" applyAlignment="1">
      <alignment vertical="center" shrinkToFit="1"/>
    </xf>
    <xf numFmtId="2" fontId="27" fillId="0" borderId="24" xfId="0" applyNumberFormat="1" applyFont="1" applyBorder="1" applyAlignment="1">
      <alignment horizontal="center" vertical="center"/>
    </xf>
    <xf numFmtId="165" fontId="28" fillId="0" borderId="1" xfId="0" applyNumberFormat="1" applyFont="1" applyBorder="1" applyAlignment="1">
      <alignment horizontal="center" vertical="center"/>
    </xf>
    <xf numFmtId="1" fontId="27" fillId="0" borderId="6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3" fillId="2" borderId="1" xfId="0" applyFont="1" applyFill="1" applyBorder="1" applyAlignment="1">
      <alignment vertical="center"/>
    </xf>
    <xf numFmtId="0" fontId="23" fillId="0" borderId="1" xfId="0" applyFont="1" applyBorder="1" applyAlignment="1">
      <alignment vertical="center"/>
    </xf>
    <xf numFmtId="14" fontId="23" fillId="0" borderId="1" xfId="0" applyNumberFormat="1" applyFont="1" applyBorder="1" applyAlignment="1">
      <alignment horizontal="center" vertical="center"/>
    </xf>
    <xf numFmtId="14" fontId="23" fillId="0" borderId="25" xfId="0" applyNumberFormat="1" applyFont="1" applyBorder="1" applyAlignment="1">
      <alignment vertical="center" shrinkToFit="1"/>
    </xf>
    <xf numFmtId="2" fontId="25" fillId="0" borderId="24" xfId="0" applyNumberFormat="1" applyFont="1" applyBorder="1" applyAlignment="1">
      <alignment horizontal="center" vertical="center"/>
    </xf>
    <xf numFmtId="165" fontId="29" fillId="0" borderId="1" xfId="0" applyNumberFormat="1" applyFont="1" applyBorder="1" applyAlignment="1">
      <alignment horizontal="center" vertical="center"/>
    </xf>
    <xf numFmtId="1" fontId="25" fillId="0" borderId="6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 shrinkToFit="1"/>
    </xf>
    <xf numFmtId="0" fontId="27" fillId="0" borderId="0" xfId="0" applyFont="1" applyAlignment="1">
      <alignment horizontal="center"/>
    </xf>
    <xf numFmtId="1" fontId="27" fillId="0" borderId="0" xfId="0" applyNumberFormat="1" applyFont="1" applyAlignment="1">
      <alignment horizontal="center"/>
    </xf>
    <xf numFmtId="0" fontId="23" fillId="0" borderId="0" xfId="0" applyFont="1" applyAlignment="1">
      <alignment horizontal="center"/>
    </xf>
    <xf numFmtId="14" fontId="23" fillId="0" borderId="0" xfId="0" applyNumberFormat="1" applyFont="1" applyAlignment="1">
      <alignment horizontal="center"/>
    </xf>
    <xf numFmtId="14" fontId="23" fillId="0" borderId="0" xfId="0" applyNumberFormat="1" applyFont="1" applyAlignment="1">
      <alignment shrinkToFit="1"/>
    </xf>
    <xf numFmtId="0" fontId="28" fillId="0" borderId="0" xfId="0" applyFont="1" applyAlignment="1">
      <alignment horizontal="center"/>
    </xf>
    <xf numFmtId="1" fontId="26" fillId="0" borderId="0" xfId="0" applyNumberFormat="1" applyFont="1"/>
    <xf numFmtId="0" fontId="23" fillId="0" borderId="0" xfId="0" applyFont="1"/>
    <xf numFmtId="0" fontId="23" fillId="2" borderId="1" xfId="0" applyFont="1" applyFill="1" applyBorder="1"/>
    <xf numFmtId="49" fontId="23" fillId="2" borderId="1" xfId="0" applyNumberFormat="1" applyFont="1" applyFill="1" applyBorder="1" applyAlignment="1">
      <alignment horizontal="center"/>
    </xf>
    <xf numFmtId="0" fontId="23" fillId="0" borderId="0" xfId="0" applyFont="1" applyAlignment="1">
      <alignment shrinkToFit="1"/>
    </xf>
    <xf numFmtId="0" fontId="26" fillId="0" borderId="0" xfId="0" applyFont="1"/>
    <xf numFmtId="17" fontId="23" fillId="2" borderId="1" xfId="0" applyNumberFormat="1" applyFont="1" applyFill="1" applyBorder="1" applyAlignment="1">
      <alignment vertical="center"/>
    </xf>
    <xf numFmtId="14" fontId="23" fillId="0" borderId="0" xfId="0" applyNumberFormat="1" applyFont="1"/>
    <xf numFmtId="2" fontId="27" fillId="0" borderId="0" xfId="0" applyNumberFormat="1" applyFont="1" applyAlignment="1">
      <alignment horizontal="center"/>
    </xf>
    <xf numFmtId="165" fontId="28" fillId="0" borderId="0" xfId="0" applyNumberFormat="1" applyFont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2" borderId="1" xfId="0" applyFont="1" applyFill="1" applyBorder="1" applyAlignment="1">
      <alignment horizontal="right" vertical="center"/>
    </xf>
    <xf numFmtId="14" fontId="26" fillId="0" borderId="25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0" fillId="0" borderId="0" xfId="0" applyFont="1"/>
    <xf numFmtId="1" fontId="30" fillId="0" borderId="0" xfId="0" applyNumberFormat="1" applyFont="1"/>
    <xf numFmtId="49" fontId="1" fillId="0" borderId="0" xfId="0" applyNumberFormat="1" applyFont="1"/>
    <xf numFmtId="0" fontId="1" fillId="0" borderId="0" xfId="0" applyNumberFormat="1" applyFont="1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20" fontId="1" fillId="0" borderId="0" xfId="0" applyNumberFormat="1" applyFont="1" applyAlignment="1">
      <alignment horizontal="left"/>
    </xf>
    <xf numFmtId="164" fontId="25" fillId="0" borderId="0" xfId="0" applyNumberFormat="1" applyFont="1"/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164" fontId="31" fillId="0" borderId="0" xfId="0" applyNumberFormat="1" applyFont="1"/>
    <xf numFmtId="164" fontId="32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24" fillId="0" borderId="0" xfId="0" applyFont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shrinkToFit="1"/>
    </xf>
    <xf numFmtId="2" fontId="30" fillId="0" borderId="7" xfId="0" applyNumberFormat="1" applyFont="1" applyBorder="1" applyAlignment="1">
      <alignment horizontal="center"/>
    </xf>
    <xf numFmtId="165" fontId="33" fillId="0" borderId="5" xfId="0" applyNumberFormat="1" applyFont="1" applyBorder="1" applyAlignment="1">
      <alignment horizontal="center"/>
    </xf>
    <xf numFmtId="2" fontId="2" fillId="0" borderId="7" xfId="0" applyNumberFormat="1" applyFont="1" applyBorder="1" applyAlignment="1">
      <alignment horizontal="center"/>
    </xf>
    <xf numFmtId="165" fontId="34" fillId="0" borderId="1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35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/>
    </xf>
    <xf numFmtId="14" fontId="1" fillId="0" borderId="0" xfId="0" applyNumberFormat="1" applyFont="1"/>
    <xf numFmtId="2" fontId="1" fillId="0" borderId="0" xfId="0" applyNumberFormat="1" applyFont="1" applyAlignment="1">
      <alignment horizontal="center"/>
    </xf>
    <xf numFmtId="165" fontId="36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5" fontId="34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35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left" vertical="center"/>
    </xf>
    <xf numFmtId="0" fontId="1" fillId="0" borderId="1" xfId="1" applyFont="1" applyBorder="1" applyAlignment="1">
      <alignment horizontal="left" vertical="center"/>
    </xf>
    <xf numFmtId="2" fontId="1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2" fontId="30" fillId="0" borderId="5" xfId="0" applyNumberFormat="1" applyFont="1" applyBorder="1" applyAlignment="1">
      <alignment horizontal="center"/>
    </xf>
    <xf numFmtId="2" fontId="37" fillId="0" borderId="7" xfId="0" applyNumberFormat="1" applyFont="1" applyBorder="1" applyAlignment="1">
      <alignment horizontal="center"/>
    </xf>
    <xf numFmtId="1" fontId="37" fillId="0" borderId="1" xfId="0" applyNumberFormat="1" applyFont="1" applyBorder="1" applyAlignment="1">
      <alignment horizontal="center"/>
    </xf>
    <xf numFmtId="1" fontId="1" fillId="0" borderId="0" xfId="0" applyNumberFormat="1" applyFont="1" applyAlignment="1">
      <alignment horizontal="left"/>
    </xf>
    <xf numFmtId="0" fontId="38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164" fontId="38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 shrinkToFit="1"/>
    </xf>
    <xf numFmtId="1" fontId="38" fillId="0" borderId="0" xfId="0" applyNumberFormat="1" applyFont="1" applyAlignment="1">
      <alignment horizontal="left" shrinkToFit="1"/>
    </xf>
    <xf numFmtId="164" fontId="39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24" fillId="0" borderId="0" xfId="0" applyNumberFormat="1" applyFont="1"/>
    <xf numFmtId="0" fontId="38" fillId="0" borderId="5" xfId="0" applyFont="1" applyBorder="1" applyAlignment="1">
      <alignment horizontal="center"/>
    </xf>
    <xf numFmtId="0" fontId="38" fillId="0" borderId="27" xfId="0" applyFont="1" applyBorder="1" applyAlignment="1">
      <alignment horizontal="center"/>
    </xf>
    <xf numFmtId="0" fontId="38" fillId="0" borderId="28" xfId="0" applyFont="1" applyBorder="1" applyAlignment="1">
      <alignment horizontal="center"/>
    </xf>
    <xf numFmtId="0" fontId="38" fillId="0" borderId="29" xfId="0" applyFont="1" applyBorder="1" applyAlignment="1">
      <alignment horizontal="center"/>
    </xf>
    <xf numFmtId="0" fontId="38" fillId="0" borderId="6" xfId="0" applyFont="1" applyBorder="1" applyAlignment="1">
      <alignment horizontal="center"/>
    </xf>
    <xf numFmtId="1" fontId="38" fillId="0" borderId="1" xfId="0" applyNumberFormat="1" applyFont="1" applyBorder="1" applyAlignment="1">
      <alignment horizontal="center"/>
    </xf>
    <xf numFmtId="1" fontId="38" fillId="0" borderId="0" xfId="0" applyNumberFormat="1" applyFont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38" fillId="0" borderId="0" xfId="0" applyFont="1" applyAlignment="1">
      <alignment horizontal="center"/>
    </xf>
    <xf numFmtId="0" fontId="2" fillId="0" borderId="26" xfId="0" applyFont="1" applyBorder="1" applyAlignment="1">
      <alignment horizontal="center"/>
    </xf>
    <xf numFmtId="0" fontId="1" fillId="0" borderId="1" xfId="0" applyFont="1" applyBorder="1" applyAlignment="1">
      <alignment shrinkToFit="1"/>
    </xf>
    <xf numFmtId="14" fontId="1" fillId="0" borderId="25" xfId="0" applyNumberFormat="1" applyFont="1" applyBorder="1" applyAlignment="1">
      <alignment shrinkToFit="1"/>
    </xf>
    <xf numFmtId="2" fontId="1" fillId="0" borderId="6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2" fontId="1" fillId="0" borderId="25" xfId="0" applyNumberFormat="1" applyFont="1" applyBorder="1" applyAlignment="1">
      <alignment horizontal="center"/>
    </xf>
    <xf numFmtId="165" fontId="1" fillId="0" borderId="6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65" fontId="1" fillId="0" borderId="25" xfId="0" applyNumberFormat="1" applyFont="1" applyBorder="1" applyAlignment="1">
      <alignment horizontal="center"/>
    </xf>
    <xf numFmtId="164" fontId="1" fillId="0" borderId="0" xfId="0" applyNumberFormat="1" applyFont="1" applyAlignment="1">
      <alignment horizontal="right"/>
    </xf>
    <xf numFmtId="0" fontId="1" fillId="0" borderId="0" xfId="0" applyFont="1" applyAlignment="1">
      <alignment shrinkToFit="1"/>
    </xf>
    <xf numFmtId="0" fontId="2" fillId="0" borderId="1" xfId="0" applyFont="1" applyBorder="1" applyAlignment="1">
      <alignment horizontal="center" shrinkToFit="1"/>
    </xf>
    <xf numFmtId="0" fontId="2" fillId="0" borderId="0" xfId="0" applyFont="1" applyAlignment="1">
      <alignment horizontal="center" shrinkToFit="1"/>
    </xf>
    <xf numFmtId="0" fontId="1" fillId="0" borderId="0" xfId="0" applyFont="1" applyAlignment="1">
      <alignment vertical="center"/>
    </xf>
    <xf numFmtId="0" fontId="30" fillId="0" borderId="1" xfId="0" applyFont="1" applyBorder="1" applyAlignment="1">
      <alignment vertical="center"/>
    </xf>
    <xf numFmtId="14" fontId="30" fillId="0" borderId="1" xfId="0" applyNumberFormat="1" applyFont="1" applyBorder="1" applyAlignment="1">
      <alignment horizontal="center" vertical="center"/>
    </xf>
    <xf numFmtId="14" fontId="30" fillId="0" borderId="5" xfId="0" applyNumberFormat="1" applyFont="1" applyBorder="1" applyAlignment="1">
      <alignment vertical="center" shrinkToFit="1"/>
    </xf>
    <xf numFmtId="2" fontId="37" fillId="0" borderId="7" xfId="0" applyNumberFormat="1" applyFont="1" applyBorder="1" applyAlignment="1">
      <alignment horizontal="center" vertical="center"/>
    </xf>
    <xf numFmtId="1" fontId="37" fillId="0" borderId="1" xfId="0" applyNumberFormat="1" applyFont="1" applyBorder="1" applyAlignment="1">
      <alignment horizontal="center" vertical="center"/>
    </xf>
    <xf numFmtId="0" fontId="30" fillId="2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center" vertical="center"/>
    </xf>
    <xf numFmtId="2" fontId="2" fillId="0" borderId="7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right" vertical="center"/>
    </xf>
    <xf numFmtId="0" fontId="25" fillId="0" borderId="0" xfId="0" applyFont="1" applyAlignment="1">
      <alignment horizontal="left" vertical="center"/>
    </xf>
    <xf numFmtId="0" fontId="30" fillId="0" borderId="0" xfId="0" applyFont="1" applyAlignment="1">
      <alignment vertical="center"/>
    </xf>
    <xf numFmtId="14" fontId="30" fillId="0" borderId="0" xfId="0" applyNumberFormat="1" applyFont="1" applyAlignment="1">
      <alignment horizontal="center" vertical="center"/>
    </xf>
    <xf numFmtId="14" fontId="30" fillId="0" borderId="0" xfId="0" applyNumberFormat="1" applyFont="1" applyAlignment="1">
      <alignment vertical="center" shrinkToFit="1"/>
    </xf>
    <xf numFmtId="0" fontId="37" fillId="0" borderId="0" xfId="0" applyFont="1" applyAlignment="1">
      <alignment horizontal="center" vertical="center"/>
    </xf>
    <xf numFmtId="1" fontId="30" fillId="0" borderId="0" xfId="0" applyNumberFormat="1" applyFont="1" applyAlignment="1">
      <alignment vertical="center"/>
    </xf>
    <xf numFmtId="0" fontId="23" fillId="0" borderId="0" xfId="0" applyFont="1" applyAlignment="1">
      <alignment horizontal="center" vertical="center"/>
    </xf>
    <xf numFmtId="2" fontId="37" fillId="0" borderId="0" xfId="0" applyNumberFormat="1" applyFont="1" applyAlignment="1">
      <alignment horizontal="center" vertical="center"/>
    </xf>
    <xf numFmtId="1" fontId="37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14" fontId="30" fillId="0" borderId="1" xfId="0" applyNumberFormat="1" applyFont="1" applyBorder="1" applyAlignment="1">
      <alignment vertical="center" shrinkToFit="1"/>
    </xf>
    <xf numFmtId="2" fontId="37" fillId="0" borderId="1" xfId="0" applyNumberFormat="1" applyFont="1" applyBorder="1" applyAlignment="1">
      <alignment horizontal="center" vertical="center"/>
    </xf>
    <xf numFmtId="0" fontId="30" fillId="2" borderId="6" xfId="0" applyFont="1" applyFill="1" applyBorder="1" applyAlignment="1">
      <alignment horizontal="right" vertical="center"/>
    </xf>
    <xf numFmtId="0" fontId="1" fillId="0" borderId="15" xfId="0" applyFont="1" applyBorder="1" applyAlignment="1">
      <alignment vertical="center"/>
    </xf>
    <xf numFmtId="14" fontId="1" fillId="0" borderId="15" xfId="0" applyNumberFormat="1" applyFont="1" applyBorder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0" fontId="1" fillId="2" borderId="16" xfId="0" applyFont="1" applyFill="1" applyBorder="1" applyAlignment="1">
      <alignment horizontal="right" vertical="center"/>
    </xf>
    <xf numFmtId="0" fontId="30" fillId="0" borderId="0" xfId="0" applyFont="1" applyAlignment="1">
      <alignment shrinkToFit="1"/>
    </xf>
    <xf numFmtId="14" fontId="30" fillId="0" borderId="0" xfId="0" applyNumberFormat="1" applyFont="1" applyAlignment="1">
      <alignment horizontal="center"/>
    </xf>
    <xf numFmtId="14" fontId="30" fillId="0" borderId="0" xfId="0" applyNumberFormat="1" applyFont="1" applyAlignment="1">
      <alignment shrinkToFit="1"/>
    </xf>
    <xf numFmtId="2" fontId="37" fillId="0" borderId="0" xfId="0" applyNumberFormat="1" applyFont="1" applyAlignment="1">
      <alignment horizontal="center"/>
    </xf>
    <xf numFmtId="1" fontId="37" fillId="0" borderId="0" xfId="0" applyNumberFormat="1" applyFont="1" applyAlignment="1">
      <alignment horizontal="center"/>
    </xf>
    <xf numFmtId="0" fontId="1" fillId="2" borderId="0" xfId="0" applyFont="1" applyFill="1"/>
    <xf numFmtId="0" fontId="30" fillId="0" borderId="1" xfId="0" applyFont="1" applyBorder="1"/>
    <xf numFmtId="14" fontId="30" fillId="0" borderId="1" xfId="0" applyNumberFormat="1" applyFont="1" applyBorder="1" applyAlignment="1">
      <alignment horizontal="center"/>
    </xf>
    <xf numFmtId="14" fontId="30" fillId="0" borderId="1" xfId="0" applyNumberFormat="1" applyFont="1" applyBorder="1" applyAlignment="1">
      <alignment shrinkToFit="1"/>
    </xf>
    <xf numFmtId="2" fontId="37" fillId="0" borderId="1" xfId="0" applyNumberFormat="1" applyFont="1" applyBorder="1" applyAlignment="1">
      <alignment horizontal="center"/>
    </xf>
    <xf numFmtId="0" fontId="30" fillId="2" borderId="6" xfId="0" applyFont="1" applyFill="1" applyBorder="1" applyAlignment="1">
      <alignment horizontal="right"/>
    </xf>
    <xf numFmtId="0" fontId="1" fillId="0" borderId="15" xfId="0" applyFont="1" applyBorder="1"/>
    <xf numFmtId="14" fontId="1" fillId="0" borderId="15" xfId="0" applyNumberFormat="1" applyFont="1" applyBorder="1" applyAlignment="1">
      <alignment horizontal="center"/>
    </xf>
    <xf numFmtId="14" fontId="1" fillId="0" borderId="17" xfId="0" applyNumberFormat="1" applyFont="1" applyBorder="1" applyAlignment="1">
      <alignment shrinkToFit="1"/>
    </xf>
    <xf numFmtId="2" fontId="37" fillId="0" borderId="18" xfId="0" applyNumberFormat="1" applyFont="1" applyBorder="1" applyAlignment="1">
      <alignment horizontal="center"/>
    </xf>
    <xf numFmtId="0" fontId="1" fillId="2" borderId="16" xfId="0" applyFont="1" applyFill="1" applyBorder="1"/>
    <xf numFmtId="14" fontId="1" fillId="0" borderId="5" xfId="0" applyNumberFormat="1" applyFont="1" applyBorder="1" applyAlignment="1">
      <alignment shrinkToFit="1"/>
    </xf>
    <xf numFmtId="0" fontId="1" fillId="2" borderId="1" xfId="0" applyFont="1" applyFill="1" applyBorder="1" applyAlignment="1">
      <alignment horizontal="right"/>
    </xf>
    <xf numFmtId="14" fontId="30" fillId="0" borderId="5" xfId="0" applyNumberFormat="1" applyFont="1" applyBorder="1" applyAlignment="1">
      <alignment shrinkToFit="1"/>
    </xf>
    <xf numFmtId="0" fontId="35" fillId="0" borderId="0" xfId="0" applyFont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35" fillId="0" borderId="6" xfId="0" applyFont="1" applyBorder="1" applyAlignment="1">
      <alignment horizontal="center"/>
    </xf>
    <xf numFmtId="0" fontId="1" fillId="0" borderId="6" xfId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1" fontId="25" fillId="0" borderId="0" xfId="0" applyNumberFormat="1" applyFont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166" fontId="26" fillId="0" borderId="1" xfId="0" applyNumberFormat="1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166" fontId="23" fillId="0" borderId="1" xfId="0" applyNumberFormat="1" applyFont="1" applyBorder="1" applyAlignment="1">
      <alignment horizontal="center" vertical="center"/>
    </xf>
    <xf numFmtId="166" fontId="26" fillId="0" borderId="0" xfId="0" applyNumberFormat="1" applyFont="1" applyAlignment="1">
      <alignment horizontal="center" vertical="center"/>
    </xf>
    <xf numFmtId="14" fontId="26" fillId="0" borderId="0" xfId="0" applyNumberFormat="1" applyFont="1" applyAlignment="1">
      <alignment vertical="center" shrinkToFit="1"/>
    </xf>
    <xf numFmtId="0" fontId="27" fillId="0" borderId="0" xfId="0" applyFont="1" applyAlignment="1">
      <alignment horizontal="center" vertical="center"/>
    </xf>
    <xf numFmtId="1" fontId="26" fillId="0" borderId="0" xfId="0" applyNumberFormat="1" applyFont="1" applyAlignment="1">
      <alignment vertical="center"/>
    </xf>
    <xf numFmtId="49" fontId="23" fillId="2" borderId="1" xfId="0" applyNumberFormat="1" applyFont="1" applyFill="1" applyBorder="1" applyAlignment="1">
      <alignment horizontal="center" vertical="center"/>
    </xf>
    <xf numFmtId="14" fontId="26" fillId="0" borderId="0" xfId="0" applyNumberFormat="1" applyFont="1" applyAlignment="1">
      <alignment vertical="center"/>
    </xf>
    <xf numFmtId="166" fontId="27" fillId="0" borderId="0" xfId="0" applyNumberFormat="1" applyFont="1" applyAlignment="1">
      <alignment horizontal="center" vertical="center"/>
    </xf>
    <xf numFmtId="1" fontId="27" fillId="0" borderId="0" xfId="0" applyNumberFormat="1" applyFont="1" applyAlignment="1">
      <alignment horizontal="center" vertical="center"/>
    </xf>
    <xf numFmtId="166" fontId="30" fillId="0" borderId="0" xfId="0" applyNumberFormat="1" applyFont="1" applyAlignment="1">
      <alignment horizontal="center"/>
    </xf>
    <xf numFmtId="0" fontId="37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2" fontId="37" fillId="0" borderId="24" xfId="0" applyNumberFormat="1" applyFont="1" applyBorder="1" applyAlignment="1">
      <alignment horizontal="center"/>
    </xf>
    <xf numFmtId="165" fontId="40" fillId="0" borderId="1" xfId="0" applyNumberFormat="1" applyFont="1" applyBorder="1" applyAlignment="1">
      <alignment horizontal="center"/>
    </xf>
    <xf numFmtId="1" fontId="37" fillId="0" borderId="6" xfId="0" applyNumberFormat="1" applyFont="1" applyBorder="1" applyAlignment="1">
      <alignment horizontal="center"/>
    </xf>
    <xf numFmtId="166" fontId="30" fillId="0" borderId="1" xfId="0" applyNumberFormat="1" applyFont="1" applyBorder="1" applyAlignment="1">
      <alignment horizontal="center"/>
    </xf>
    <xf numFmtId="14" fontId="30" fillId="0" borderId="25" xfId="0" applyNumberFormat="1" applyFont="1" applyBorder="1" applyAlignment="1">
      <alignment shrinkToFit="1"/>
    </xf>
    <xf numFmtId="0" fontId="1" fillId="0" borderId="1" xfId="0" applyFont="1" applyBorder="1" applyAlignment="1">
      <alignment horizontal="center" vertical="center" shrinkToFit="1"/>
    </xf>
    <xf numFmtId="0" fontId="3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shrinkToFit="1"/>
    </xf>
    <xf numFmtId="14" fontId="1" fillId="0" borderId="1" xfId="0" applyNumberFormat="1" applyFont="1" applyBorder="1" applyAlignment="1">
      <alignment horizontal="center" vertical="center" shrinkToFit="1"/>
    </xf>
    <xf numFmtId="14" fontId="1" fillId="0" borderId="25" xfId="0" applyNumberFormat="1" applyFont="1" applyBorder="1" applyAlignment="1">
      <alignment vertical="center" shrinkToFit="1"/>
    </xf>
    <xf numFmtId="2" fontId="30" fillId="0" borderId="24" xfId="0" applyNumberFormat="1" applyFont="1" applyBorder="1" applyAlignment="1">
      <alignment horizontal="center" vertical="center" shrinkToFit="1"/>
    </xf>
    <xf numFmtId="2" fontId="30" fillId="0" borderId="5" xfId="0" applyNumberFormat="1" applyFont="1" applyBorder="1" applyAlignment="1">
      <alignment horizontal="center" vertical="center" shrinkToFit="1"/>
    </xf>
    <xf numFmtId="2" fontId="2" fillId="0" borderId="7" xfId="0" applyNumberFormat="1" applyFont="1" applyBorder="1" applyAlignment="1">
      <alignment horizontal="center" vertical="center" shrinkToFit="1"/>
    </xf>
    <xf numFmtId="1" fontId="2" fillId="0" borderId="1" xfId="0" applyNumberFormat="1" applyFont="1" applyBorder="1" applyAlignment="1">
      <alignment horizontal="center" vertical="center" shrinkToFit="1"/>
    </xf>
    <xf numFmtId="1" fontId="2" fillId="0" borderId="0" xfId="0" applyNumberFormat="1" applyFont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right" vertical="center"/>
    </xf>
    <xf numFmtId="2" fontId="37" fillId="0" borderId="7" xfId="0" applyNumberFormat="1" applyFont="1" applyBorder="1" applyAlignment="1">
      <alignment horizontal="center" vertical="center" shrinkToFit="1"/>
    </xf>
    <xf numFmtId="1" fontId="37" fillId="0" borderId="1" xfId="0" applyNumberFormat="1" applyFont="1" applyBorder="1" applyAlignment="1">
      <alignment horizontal="center" vertical="center" shrinkToFit="1"/>
    </xf>
    <xf numFmtId="0" fontId="1" fillId="0" borderId="30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vertical="center" shrinkToFit="1"/>
    </xf>
    <xf numFmtId="49" fontId="2" fillId="0" borderId="0" xfId="0" applyNumberFormat="1" applyFont="1" applyAlignment="1">
      <alignment horizontal="left"/>
    </xf>
    <xf numFmtId="0" fontId="31" fillId="0" borderId="0" xfId="0" applyFont="1" applyAlignment="1">
      <alignment horizontal="left"/>
    </xf>
    <xf numFmtId="49" fontId="1" fillId="0" borderId="6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25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164" fontId="24" fillId="0" borderId="0" xfId="0" applyNumberFormat="1" applyFont="1" applyAlignment="1">
      <alignment horizontal="left"/>
    </xf>
    <xf numFmtId="2" fontId="30" fillId="0" borderId="24" xfId="0" applyNumberFormat="1" applyFont="1" applyBorder="1" applyAlignment="1">
      <alignment horizontal="center" vertical="center"/>
    </xf>
    <xf numFmtId="2" fontId="30" fillId="0" borderId="5" xfId="0" applyNumberFormat="1" applyFont="1" applyBorder="1" applyAlignment="1">
      <alignment horizontal="center" vertical="center"/>
    </xf>
    <xf numFmtId="2" fontId="30" fillId="0" borderId="25" xfId="0" applyNumberFormat="1" applyFont="1" applyBorder="1" applyAlignment="1">
      <alignment horizontal="center" vertical="center"/>
    </xf>
    <xf numFmtId="2" fontId="2" fillId="0" borderId="24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shrinkToFit="1"/>
    </xf>
    <xf numFmtId="2" fontId="30" fillId="0" borderId="24" xfId="0" applyNumberFormat="1" applyFont="1" applyBorder="1" applyAlignment="1">
      <alignment horizontal="center"/>
    </xf>
    <xf numFmtId="2" fontId="30" fillId="0" borderId="25" xfId="0" applyNumberFormat="1" applyFont="1" applyBorder="1" applyAlignment="1">
      <alignment horizontal="center"/>
    </xf>
    <xf numFmtId="14" fontId="1" fillId="0" borderId="25" xfId="0" applyNumberFormat="1" applyFont="1" applyBorder="1"/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shrinkToFit="1"/>
    </xf>
    <xf numFmtId="2" fontId="2" fillId="2" borderId="5" xfId="0" applyNumberFormat="1" applyFont="1" applyFill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 vertical="center" shrinkToFit="1"/>
    </xf>
    <xf numFmtId="0" fontId="37" fillId="0" borderId="1" xfId="0" applyFont="1" applyBorder="1" applyAlignment="1">
      <alignment horizontal="center"/>
    </xf>
    <xf numFmtId="0" fontId="37" fillId="0" borderId="31" xfId="0" applyFont="1" applyBorder="1" applyAlignment="1">
      <alignment horizontal="center"/>
    </xf>
    <xf numFmtId="1" fontId="37" fillId="0" borderId="15" xfId="0" applyNumberFormat="1" applyFont="1" applyBorder="1" applyAlignment="1">
      <alignment horizontal="center"/>
    </xf>
    <xf numFmtId="0" fontId="37" fillId="0" borderId="24" xfId="0" applyFont="1" applyBorder="1" applyAlignment="1">
      <alignment horizontal="center"/>
    </xf>
    <xf numFmtId="0" fontId="35" fillId="0" borderId="30" xfId="0" applyFont="1" applyBorder="1" applyAlignment="1">
      <alignment horizontal="left" vertical="center"/>
    </xf>
    <xf numFmtId="1" fontId="1" fillId="0" borderId="30" xfId="0" applyNumberFormat="1" applyFont="1" applyBorder="1" applyAlignment="1">
      <alignment horizontal="left" vertical="center"/>
    </xf>
    <xf numFmtId="0" fontId="1" fillId="0" borderId="30" xfId="1" applyFont="1" applyBorder="1" applyAlignment="1">
      <alignment horizontal="left" vertical="center"/>
    </xf>
    <xf numFmtId="164" fontId="24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right"/>
    </xf>
    <xf numFmtId="0" fontId="41" fillId="2" borderId="0" xfId="0" applyFont="1" applyFill="1"/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42" fillId="2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0" fontId="41" fillId="2" borderId="0" xfId="0" applyFont="1" applyFill="1" applyAlignment="1">
      <alignment horizontal="right"/>
    </xf>
    <xf numFmtId="0" fontId="43" fillId="0" borderId="0" xfId="0" applyFont="1" applyAlignment="1">
      <alignment horizontal="right"/>
    </xf>
    <xf numFmtId="164" fontId="1" fillId="0" borderId="0" xfId="0" applyNumberFormat="1" applyFont="1"/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1" fillId="3" borderId="0" xfId="0" applyFont="1" applyFill="1"/>
    <xf numFmtId="0" fontId="42" fillId="2" borderId="0" xfId="0" applyFont="1" applyFill="1" applyAlignment="1">
      <alignment horizontal="left"/>
    </xf>
    <xf numFmtId="0" fontId="41" fillId="3" borderId="0" xfId="0" applyFont="1" applyFill="1" applyAlignment="1">
      <alignment horizontal="left" vertical="center"/>
    </xf>
    <xf numFmtId="0" fontId="43" fillId="3" borderId="0" xfId="0" applyFont="1" applyFill="1" applyAlignment="1">
      <alignment horizontal="right" vertical="center"/>
    </xf>
    <xf numFmtId="0" fontId="1" fillId="2" borderId="20" xfId="0" applyFont="1" applyFill="1" applyBorder="1"/>
    <xf numFmtId="0" fontId="25" fillId="0" borderId="1" xfId="0" applyFont="1" applyBorder="1" applyAlignment="1">
      <alignment horizontal="center"/>
    </xf>
    <xf numFmtId="0" fontId="25" fillId="3" borderId="1" xfId="0" applyFont="1" applyFill="1" applyBorder="1" applyAlignment="1">
      <alignment horizontal="center"/>
    </xf>
    <xf numFmtId="0" fontId="25" fillId="0" borderId="0" xfId="0" applyFont="1" applyAlignment="1">
      <alignment horizontal="right"/>
    </xf>
    <xf numFmtId="0" fontId="2" fillId="2" borderId="15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left"/>
    </xf>
    <xf numFmtId="1" fontId="2" fillId="0" borderId="11" xfId="0" applyNumberFormat="1" applyFont="1" applyBorder="1" applyAlignment="1">
      <alignment horizontal="center"/>
    </xf>
    <xf numFmtId="0" fontId="1" fillId="0" borderId="0" xfId="0" applyFont="1" applyAlignment="1">
      <alignment vertical="center" shrinkToFit="1"/>
    </xf>
    <xf numFmtId="166" fontId="1" fillId="0" borderId="0" xfId="0" applyNumberFormat="1" applyFont="1" applyAlignment="1">
      <alignment horizontal="left" vertical="center"/>
    </xf>
    <xf numFmtId="2" fontId="1" fillId="0" borderId="8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 shrinkToFit="1"/>
    </xf>
    <xf numFmtId="1" fontId="2" fillId="0" borderId="8" xfId="0" applyNumberFormat="1" applyFont="1" applyBorder="1" applyAlignment="1">
      <alignment horizontal="center" vertical="center"/>
    </xf>
    <xf numFmtId="1" fontId="1" fillId="2" borderId="0" xfId="0" applyNumberFormat="1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14" fontId="42" fillId="0" borderId="0" xfId="0" applyNumberFormat="1" applyFont="1" applyAlignment="1">
      <alignment vertical="center" shrinkToFit="1"/>
    </xf>
    <xf numFmtId="166" fontId="42" fillId="0" borderId="0" xfId="0" applyNumberFormat="1" applyFont="1" applyAlignment="1">
      <alignment horizontal="left" vertical="center"/>
    </xf>
    <xf numFmtId="165" fontId="1" fillId="0" borderId="8" xfId="0" applyNumberFormat="1" applyFont="1" applyBorder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shrinkToFit="1"/>
    </xf>
    <xf numFmtId="1" fontId="1" fillId="0" borderId="0" xfId="0" applyNumberFormat="1" applyFont="1" applyAlignment="1">
      <alignment vertical="center"/>
    </xf>
    <xf numFmtId="0" fontId="42" fillId="0" borderId="0" xfId="0" applyFont="1" applyAlignment="1">
      <alignment horizontal="left" vertical="center" shrinkToFit="1"/>
    </xf>
    <xf numFmtId="1" fontId="1" fillId="0" borderId="8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 shrinkToFit="1"/>
    </xf>
    <xf numFmtId="0" fontId="1" fillId="0" borderId="11" xfId="0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  <xf numFmtId="14" fontId="42" fillId="0" borderId="11" xfId="0" applyNumberFormat="1" applyFont="1" applyBorder="1" applyAlignment="1">
      <alignment vertical="center" shrinkToFit="1"/>
    </xf>
    <xf numFmtId="166" fontId="42" fillId="0" borderId="11" xfId="0" applyNumberFormat="1" applyFont="1" applyBorder="1" applyAlignment="1">
      <alignment horizontal="left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 shrinkToFit="1"/>
    </xf>
    <xf numFmtId="1" fontId="2" fillId="0" borderId="10" xfId="0" applyNumberFormat="1" applyFont="1" applyBorder="1" applyAlignment="1">
      <alignment horizontal="center" vertical="center"/>
    </xf>
    <xf numFmtId="166" fontId="1" fillId="0" borderId="11" xfId="0" applyNumberFormat="1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0" fillId="0" borderId="0" xfId="0" applyFont="1" applyAlignment="1">
      <alignment horizontal="center" vertical="center"/>
    </xf>
    <xf numFmtId="2" fontId="30" fillId="0" borderId="8" xfId="0" applyNumberFormat="1" applyFont="1" applyBorder="1" applyAlignment="1">
      <alignment horizontal="center" vertical="center"/>
    </xf>
    <xf numFmtId="2" fontId="30" fillId="0" borderId="0" xfId="0" applyNumberFormat="1" applyFont="1" applyAlignment="1">
      <alignment horizontal="center" vertical="center"/>
    </xf>
    <xf numFmtId="2" fontId="30" fillId="0" borderId="0" xfId="0" applyNumberFormat="1" applyFont="1" applyAlignment="1">
      <alignment horizontal="center" vertical="center" shrinkToFit="1"/>
    </xf>
    <xf numFmtId="1" fontId="30" fillId="0" borderId="0" xfId="0" applyNumberFormat="1" applyFont="1" applyAlignment="1">
      <alignment horizontal="center" vertical="center"/>
    </xf>
    <xf numFmtId="1" fontId="37" fillId="0" borderId="8" xfId="0" applyNumberFormat="1" applyFont="1" applyBorder="1" applyAlignment="1">
      <alignment horizontal="center" vertical="center"/>
    </xf>
    <xf numFmtId="165" fontId="30" fillId="0" borderId="8" xfId="0" applyNumberFormat="1" applyFont="1" applyBorder="1" applyAlignment="1">
      <alignment horizontal="center" vertical="center"/>
    </xf>
    <xf numFmtId="165" fontId="30" fillId="0" borderId="0" xfId="0" applyNumberFormat="1" applyFont="1" applyAlignment="1">
      <alignment horizontal="center" vertical="center"/>
    </xf>
    <xf numFmtId="165" fontId="30" fillId="0" borderId="0" xfId="0" applyNumberFormat="1" applyFont="1" applyAlignment="1">
      <alignment horizontal="center" vertical="center" shrinkToFit="1"/>
    </xf>
    <xf numFmtId="1" fontId="30" fillId="0" borderId="8" xfId="0" applyNumberFormat="1" applyFont="1" applyBorder="1" applyAlignment="1">
      <alignment horizontal="center" vertical="center"/>
    </xf>
    <xf numFmtId="1" fontId="30" fillId="0" borderId="0" xfId="0" applyNumberFormat="1" applyFont="1" applyAlignment="1">
      <alignment horizontal="center" vertical="center" shrinkToFit="1"/>
    </xf>
    <xf numFmtId="1" fontId="30" fillId="0" borderId="10" xfId="0" applyNumberFormat="1" applyFont="1" applyBorder="1" applyAlignment="1">
      <alignment horizontal="center" vertical="center"/>
    </xf>
    <xf numFmtId="1" fontId="30" fillId="0" borderId="11" xfId="0" applyNumberFormat="1" applyFont="1" applyBorder="1" applyAlignment="1">
      <alignment horizontal="center" vertical="center"/>
    </xf>
    <xf numFmtId="1" fontId="30" fillId="0" borderId="11" xfId="0" applyNumberFormat="1" applyFont="1" applyBorder="1" applyAlignment="1">
      <alignment horizontal="center" vertical="center" shrinkToFit="1"/>
    </xf>
    <xf numFmtId="49" fontId="1" fillId="0" borderId="0" xfId="0" applyNumberFormat="1" applyFont="1" applyAlignment="1">
      <alignment horizontal="left" vertical="center"/>
    </xf>
    <xf numFmtId="0" fontId="1" fillId="0" borderId="34" xfId="0" applyFont="1" applyBorder="1" applyAlignment="1">
      <alignment horizontal="center" vertical="center"/>
    </xf>
    <xf numFmtId="1" fontId="1" fillId="0" borderId="34" xfId="0" applyNumberFormat="1" applyFont="1" applyBorder="1" applyAlignment="1">
      <alignment horizontal="center" vertical="center"/>
    </xf>
    <xf numFmtId="0" fontId="1" fillId="0" borderId="34" xfId="0" applyFont="1" applyBorder="1" applyAlignment="1">
      <alignment vertical="center" shrinkToFit="1"/>
    </xf>
    <xf numFmtId="166" fontId="1" fillId="0" borderId="34" xfId="0" applyNumberFormat="1" applyFont="1" applyBorder="1" applyAlignment="1">
      <alignment horizontal="left" vertical="center"/>
    </xf>
    <xf numFmtId="2" fontId="1" fillId="0" borderId="23" xfId="0" applyNumberFormat="1" applyFont="1" applyBorder="1" applyAlignment="1">
      <alignment horizontal="center" vertical="center"/>
    </xf>
    <xf numFmtId="2" fontId="1" fillId="0" borderId="34" xfId="0" applyNumberFormat="1" applyFont="1" applyBorder="1" applyAlignment="1">
      <alignment horizontal="center" vertical="center"/>
    </xf>
    <xf numFmtId="2" fontId="1" fillId="0" borderId="34" xfId="0" applyNumberFormat="1" applyFont="1" applyBorder="1" applyAlignment="1">
      <alignment horizontal="center" vertical="center" shrinkToFit="1"/>
    </xf>
    <xf numFmtId="1" fontId="2" fillId="0" borderId="23" xfId="0" applyNumberFormat="1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7" fillId="0" borderId="0" xfId="0" applyFont="1" applyAlignment="1">
      <alignment horizontal="right" vertical="center"/>
    </xf>
    <xf numFmtId="1" fontId="37" fillId="0" borderId="10" xfId="0" applyNumberFormat="1" applyFont="1" applyBorder="1" applyAlignment="1">
      <alignment horizontal="center" vertical="center"/>
    </xf>
    <xf numFmtId="1" fontId="37" fillId="0" borderId="11" xfId="0" applyNumberFormat="1" applyFont="1" applyBorder="1" applyAlignment="1">
      <alignment horizontal="center"/>
    </xf>
    <xf numFmtId="1" fontId="37" fillId="0" borderId="23" xfId="0" applyNumberFormat="1" applyFont="1" applyBorder="1" applyAlignment="1">
      <alignment horizontal="center" vertical="center"/>
    </xf>
    <xf numFmtId="0" fontId="45" fillId="0" borderId="0" xfId="0" applyFont="1" applyAlignment="1">
      <alignment vertical="center"/>
    </xf>
    <xf numFmtId="0" fontId="45" fillId="0" borderId="0" xfId="0" applyFont="1" applyAlignment="1">
      <alignment horizontal="left" vertical="center"/>
    </xf>
    <xf numFmtId="0" fontId="45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right"/>
    </xf>
    <xf numFmtId="0" fontId="42" fillId="0" borderId="0" xfId="0" applyNumberFormat="1" applyFont="1" applyAlignment="1">
      <alignment horizontal="center"/>
    </xf>
    <xf numFmtId="0" fontId="46" fillId="0" borderId="0" xfId="0" applyFont="1" applyAlignment="1">
      <alignment horizontal="center"/>
    </xf>
    <xf numFmtId="0" fontId="38" fillId="0" borderId="1" xfId="0" applyFont="1" applyBorder="1" applyAlignment="1">
      <alignment horizontal="center" vertical="center" wrapText="1"/>
    </xf>
    <xf numFmtId="1" fontId="38" fillId="0" borderId="1" xfId="0" applyNumberFormat="1" applyFont="1" applyBorder="1" applyAlignment="1">
      <alignment horizontal="center" vertical="center"/>
    </xf>
    <xf numFmtId="1" fontId="38" fillId="0" borderId="1" xfId="0" applyNumberFormat="1" applyFont="1" applyBorder="1" applyAlignment="1">
      <alignment horizontal="center" vertical="center" wrapText="1"/>
    </xf>
    <xf numFmtId="14" fontId="44" fillId="0" borderId="19" xfId="0" applyNumberFormat="1" applyFont="1" applyBorder="1" applyAlignment="1">
      <alignment horizontal="center" vertical="center"/>
    </xf>
    <xf numFmtId="14" fontId="44" fillId="0" borderId="33" xfId="0" applyNumberFormat="1" applyFont="1" applyBorder="1" applyAlignment="1">
      <alignment horizontal="center" vertical="center"/>
    </xf>
    <xf numFmtId="1" fontId="43" fillId="0" borderId="0" xfId="0" applyNumberFormat="1" applyFont="1" applyAlignment="1">
      <alignment horizontal="center" vertical="center"/>
    </xf>
    <xf numFmtId="1" fontId="41" fillId="0" borderId="0" xfId="0" applyNumberFormat="1" applyFont="1" applyAlignment="1">
      <alignment horizontal="center" vertical="center"/>
    </xf>
    <xf numFmtId="1" fontId="41" fillId="0" borderId="11" xfId="0" applyNumberFormat="1" applyFont="1" applyBorder="1" applyAlignment="1">
      <alignment horizontal="center"/>
    </xf>
    <xf numFmtId="0" fontId="30" fillId="0" borderId="11" xfId="0" applyFont="1" applyBorder="1" applyAlignment="1">
      <alignment horizontal="center" vertical="center"/>
    </xf>
    <xf numFmtId="0" fontId="1" fillId="0" borderId="0" xfId="0" applyFont="1" applyAlignment="1"/>
    <xf numFmtId="2" fontId="1" fillId="0" borderId="0" xfId="0" applyNumberFormat="1" applyFont="1" applyAlignment="1">
      <alignment horizontal="left" vertical="center"/>
    </xf>
    <xf numFmtId="0" fontId="30" fillId="0" borderId="34" xfId="0" applyFont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2" fillId="0" borderId="0" xfId="0" applyNumberFormat="1" applyFont="1"/>
    <xf numFmtId="20" fontId="1" fillId="0" borderId="0" xfId="0" applyNumberFormat="1" applyFont="1" applyAlignment="1">
      <alignment horizontal="right"/>
    </xf>
    <xf numFmtId="164" fontId="42" fillId="0" borderId="0" xfId="0" applyNumberFormat="1" applyFont="1" applyAlignment="1">
      <alignment horizontal="left"/>
    </xf>
    <xf numFmtId="0" fontId="1" fillId="0" borderId="0" xfId="0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4" fontId="42" fillId="0" borderId="0" xfId="0" applyNumberFormat="1" applyFont="1" applyBorder="1" applyAlignment="1">
      <alignment vertical="center" shrinkToFit="1"/>
    </xf>
    <xf numFmtId="166" fontId="42" fillId="0" borderId="0" xfId="0" applyNumberFormat="1" applyFont="1" applyBorder="1" applyAlignment="1">
      <alignment horizontal="left" vertical="center"/>
    </xf>
    <xf numFmtId="1" fontId="1" fillId="0" borderId="0" xfId="0" applyNumberFormat="1" applyFont="1" applyBorder="1" applyAlignment="1">
      <alignment horizontal="center" vertical="center" shrinkToFit="1"/>
    </xf>
    <xf numFmtId="1" fontId="2" fillId="0" borderId="0" xfId="0" applyNumberFormat="1" applyFont="1" applyBorder="1" applyAlignment="1">
      <alignment horizontal="center"/>
    </xf>
    <xf numFmtId="166" fontId="1" fillId="0" borderId="0" xfId="0" applyNumberFormat="1" applyFont="1" applyBorder="1" applyAlignment="1">
      <alignment horizontal="left" vertical="center"/>
    </xf>
    <xf numFmtId="0" fontId="1" fillId="0" borderId="32" xfId="0" applyFont="1" applyBorder="1" applyAlignment="1">
      <alignment horizontal="center" vertical="center"/>
    </xf>
    <xf numFmtId="1" fontId="1" fillId="0" borderId="32" xfId="0" applyNumberFormat="1" applyFont="1" applyBorder="1" applyAlignment="1">
      <alignment horizontal="center" vertical="center"/>
    </xf>
    <xf numFmtId="0" fontId="1" fillId="0" borderId="32" xfId="0" applyFont="1" applyBorder="1" applyAlignment="1">
      <alignment vertical="center" shrinkToFit="1"/>
    </xf>
    <xf numFmtId="166" fontId="1" fillId="0" borderId="32" xfId="0" applyNumberFormat="1" applyFont="1" applyBorder="1" applyAlignment="1">
      <alignment horizontal="left" vertical="center"/>
    </xf>
    <xf numFmtId="2" fontId="1" fillId="0" borderId="32" xfId="0" applyNumberFormat="1" applyFont="1" applyBorder="1" applyAlignment="1">
      <alignment horizontal="center" vertical="center"/>
    </xf>
    <xf numFmtId="2" fontId="1" fillId="0" borderId="32" xfId="0" applyNumberFormat="1" applyFont="1" applyBorder="1" applyAlignment="1">
      <alignment horizontal="center" vertical="center" shrinkToFit="1"/>
    </xf>
    <xf numFmtId="1" fontId="2" fillId="0" borderId="32" xfId="0" applyNumberFormat="1" applyFont="1" applyBorder="1" applyAlignment="1">
      <alignment horizontal="center" vertical="center"/>
    </xf>
    <xf numFmtId="14" fontId="44" fillId="0" borderId="20" xfId="0" applyNumberFormat="1" applyFont="1" applyBorder="1" applyAlignment="1">
      <alignment horizontal="center" vertical="center"/>
    </xf>
    <xf numFmtId="1" fontId="30" fillId="0" borderId="0" xfId="0" applyNumberFormat="1" applyFont="1" applyBorder="1" applyAlignment="1">
      <alignment horizontal="center" vertical="center"/>
    </xf>
    <xf numFmtId="1" fontId="30" fillId="0" borderId="0" xfId="0" applyNumberFormat="1" applyFont="1" applyBorder="1" applyAlignment="1">
      <alignment horizontal="center" vertical="center" shrinkToFit="1"/>
    </xf>
    <xf numFmtId="0" fontId="30" fillId="0" borderId="32" xfId="0" applyFont="1" applyBorder="1" applyAlignment="1">
      <alignment horizontal="center" vertical="center"/>
    </xf>
    <xf numFmtId="2" fontId="30" fillId="0" borderId="32" xfId="0" applyNumberFormat="1" applyFont="1" applyBorder="1" applyAlignment="1">
      <alignment horizontal="center" vertical="center"/>
    </xf>
    <xf numFmtId="2" fontId="30" fillId="0" borderId="32" xfId="0" applyNumberFormat="1" applyFont="1" applyBorder="1" applyAlignment="1">
      <alignment horizontal="center" vertical="center" shrinkToFit="1"/>
    </xf>
    <xf numFmtId="1" fontId="30" fillId="0" borderId="32" xfId="0" applyNumberFormat="1" applyFont="1" applyBorder="1" applyAlignment="1">
      <alignment horizontal="center" vertical="center"/>
    </xf>
    <xf numFmtId="1" fontId="37" fillId="0" borderId="32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14" fontId="26" fillId="0" borderId="5" xfId="0" applyNumberFormat="1" applyFont="1" applyBorder="1" applyAlignment="1">
      <alignment vertical="center" shrinkToFit="1"/>
    </xf>
    <xf numFmtId="14" fontId="23" fillId="0" borderId="5" xfId="0" applyNumberFormat="1" applyFont="1" applyBorder="1" applyAlignment="1">
      <alignment vertical="center" shrinkToFit="1"/>
    </xf>
    <xf numFmtId="14" fontId="26" fillId="0" borderId="5" xfId="0" applyNumberFormat="1" applyFont="1" applyBorder="1" applyAlignment="1">
      <alignment vertical="center"/>
    </xf>
    <xf numFmtId="2" fontId="27" fillId="0" borderId="1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vertical="center"/>
    </xf>
    <xf numFmtId="14" fontId="26" fillId="0" borderId="0" xfId="0" applyNumberFormat="1" applyFont="1" applyBorder="1" applyAlignment="1">
      <alignment horizontal="center" vertical="center"/>
    </xf>
    <xf numFmtId="14" fontId="26" fillId="0" borderId="0" xfId="0" applyNumberFormat="1" applyFont="1" applyBorder="1" applyAlignment="1">
      <alignment vertical="center"/>
    </xf>
    <xf numFmtId="2" fontId="27" fillId="0" borderId="0" xfId="0" applyNumberFormat="1" applyFont="1" applyBorder="1" applyAlignment="1">
      <alignment horizontal="center" vertical="center"/>
    </xf>
    <xf numFmtId="165" fontId="28" fillId="0" borderId="0" xfId="0" applyNumberFormat="1" applyFont="1" applyBorder="1" applyAlignment="1">
      <alignment horizontal="center" vertical="center"/>
    </xf>
    <xf numFmtId="1" fontId="27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38" fillId="0" borderId="5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2" fontId="30" fillId="0" borderId="1" xfId="0" applyNumberFormat="1" applyFont="1" applyBorder="1" applyAlignment="1">
      <alignment horizontal="center"/>
    </xf>
    <xf numFmtId="165" fontId="33" fillId="0" borderId="1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35" fillId="0" borderId="15" xfId="0" applyFont="1" applyBorder="1" applyAlignment="1">
      <alignment horizontal="center"/>
    </xf>
    <xf numFmtId="14" fontId="1" fillId="0" borderId="15" xfId="0" applyNumberFormat="1" applyFont="1" applyBorder="1" applyAlignment="1">
      <alignment shrinkToFit="1"/>
    </xf>
    <xf numFmtId="2" fontId="30" fillId="0" borderId="18" xfId="0" applyNumberFormat="1" applyFont="1" applyBorder="1" applyAlignment="1">
      <alignment horizontal="center"/>
    </xf>
    <xf numFmtId="165" fontId="33" fillId="0" borderId="17" xfId="0" applyNumberFormat="1" applyFont="1" applyBorder="1" applyAlignment="1">
      <alignment horizontal="center"/>
    </xf>
    <xf numFmtId="2" fontId="2" fillId="0" borderId="18" xfId="0" applyNumberFormat="1" applyFont="1" applyBorder="1" applyAlignment="1">
      <alignment horizontal="center"/>
    </xf>
    <xf numFmtId="165" fontId="34" fillId="0" borderId="15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14" fontId="1" fillId="0" borderId="0" xfId="0" applyNumberFormat="1" applyFont="1" applyBorder="1" applyAlignment="1">
      <alignment horizontal="center"/>
    </xf>
    <xf numFmtId="14" fontId="1" fillId="0" borderId="0" xfId="0" applyNumberFormat="1" applyFont="1" applyBorder="1" applyAlignment="1">
      <alignment shrinkToFit="1"/>
    </xf>
    <xf numFmtId="2" fontId="30" fillId="0" borderId="0" xfId="0" applyNumberFormat="1" applyFont="1" applyBorder="1" applyAlignment="1">
      <alignment horizontal="center"/>
    </xf>
    <xf numFmtId="165" fontId="33" fillId="0" borderId="0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165" fontId="34" fillId="0" borderId="0" xfId="0" applyNumberFormat="1" applyFont="1" applyBorder="1" applyAlignment="1">
      <alignment horizontal="center"/>
    </xf>
    <xf numFmtId="0" fontId="35" fillId="0" borderId="0" xfId="0" applyFont="1" applyBorder="1" applyAlignment="1">
      <alignment horizontal="center"/>
    </xf>
    <xf numFmtId="2" fontId="30" fillId="0" borderId="17" xfId="0" applyNumberFormat="1" applyFont="1" applyBorder="1" applyAlignment="1">
      <alignment horizontal="center"/>
    </xf>
    <xf numFmtId="2" fontId="37" fillId="0" borderId="0" xfId="0" applyNumberFormat="1" applyFont="1" applyBorder="1" applyAlignment="1">
      <alignment horizontal="center"/>
    </xf>
    <xf numFmtId="1" fontId="37" fillId="0" borderId="0" xfId="0" applyNumberFormat="1" applyFont="1" applyBorder="1" applyAlignment="1">
      <alignment horizontal="center"/>
    </xf>
    <xf numFmtId="0" fontId="1" fillId="0" borderId="15" xfId="0" applyFont="1" applyBorder="1" applyAlignment="1">
      <alignment shrinkToFit="1"/>
    </xf>
    <xf numFmtId="14" fontId="1" fillId="0" borderId="37" xfId="0" applyNumberFormat="1" applyFont="1" applyBorder="1" applyAlignment="1">
      <alignment shrinkToFit="1"/>
    </xf>
    <xf numFmtId="2" fontId="1" fillId="0" borderId="16" xfId="0" applyNumberFormat="1" applyFont="1" applyBorder="1" applyAlignment="1">
      <alignment horizontal="center"/>
    </xf>
    <xf numFmtId="165" fontId="1" fillId="0" borderId="15" xfId="0" applyNumberFormat="1" applyFont="1" applyBorder="1" applyAlignment="1">
      <alignment horizontal="center"/>
    </xf>
    <xf numFmtId="2" fontId="1" fillId="0" borderId="37" xfId="0" applyNumberFormat="1" applyFont="1" applyBorder="1" applyAlignment="1">
      <alignment horizontal="center"/>
    </xf>
    <xf numFmtId="165" fontId="1" fillId="0" borderId="16" xfId="0" applyNumberFormat="1" applyFont="1" applyBorder="1" applyAlignment="1">
      <alignment horizontal="center"/>
    </xf>
    <xf numFmtId="2" fontId="1" fillId="0" borderId="15" xfId="0" applyNumberFormat="1" applyFont="1" applyBorder="1" applyAlignment="1">
      <alignment horizontal="center"/>
    </xf>
    <xf numFmtId="165" fontId="1" fillId="0" borderId="37" xfId="0" applyNumberFormat="1" applyFont="1" applyBorder="1" applyAlignment="1">
      <alignment horizontal="center"/>
    </xf>
    <xf numFmtId="0" fontId="1" fillId="0" borderId="0" xfId="0" applyFont="1" applyBorder="1" applyAlignment="1">
      <alignment shrinkToFit="1"/>
    </xf>
    <xf numFmtId="2" fontId="1" fillId="0" borderId="0" xfId="0" applyNumberFormat="1" applyFont="1" applyBorder="1" applyAlignment="1">
      <alignment horizontal="center"/>
    </xf>
    <xf numFmtId="165" fontId="1" fillId="0" borderId="0" xfId="0" applyNumberFormat="1" applyFont="1" applyBorder="1" applyAlignment="1">
      <alignment horizontal="center"/>
    </xf>
    <xf numFmtId="165" fontId="30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2" fontId="25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2" fontId="30" fillId="0" borderId="1" xfId="0" applyNumberFormat="1" applyFont="1" applyBorder="1" applyAlignment="1">
      <alignment horizontal="center" vertical="center" shrinkToFit="1"/>
    </xf>
    <xf numFmtId="2" fontId="37" fillId="0" borderId="1" xfId="0" applyNumberFormat="1" applyFont="1" applyBorder="1" applyAlignment="1">
      <alignment horizontal="center" vertical="center" shrinkToFit="1"/>
    </xf>
    <xf numFmtId="1" fontId="2" fillId="0" borderId="6" xfId="0" applyNumberFormat="1" applyFont="1" applyBorder="1" applyAlignment="1">
      <alignment horizontal="center" vertical="center" shrinkToFit="1"/>
    </xf>
    <xf numFmtId="0" fontId="1" fillId="0" borderId="15" xfId="0" applyFont="1" applyBorder="1" applyAlignment="1">
      <alignment horizontal="center" vertical="center" shrinkToFit="1"/>
    </xf>
    <xf numFmtId="0" fontId="35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 shrinkToFit="1"/>
    </xf>
    <xf numFmtId="14" fontId="1" fillId="0" borderId="15" xfId="0" applyNumberFormat="1" applyFont="1" applyBorder="1" applyAlignment="1">
      <alignment horizontal="center" vertical="center" shrinkToFit="1"/>
    </xf>
    <xf numFmtId="14" fontId="1" fillId="0" borderId="15" xfId="0" applyNumberFormat="1" applyFont="1" applyBorder="1" applyAlignment="1">
      <alignment vertical="center" shrinkToFit="1"/>
    </xf>
    <xf numFmtId="2" fontId="30" fillId="0" borderId="15" xfId="0" applyNumberFormat="1" applyFont="1" applyBorder="1" applyAlignment="1">
      <alignment horizontal="center" vertical="center" shrinkToFit="1"/>
    </xf>
    <xf numFmtId="2" fontId="37" fillId="0" borderId="15" xfId="0" applyNumberFormat="1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3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shrinkToFit="1"/>
    </xf>
    <xf numFmtId="14" fontId="1" fillId="0" borderId="0" xfId="0" applyNumberFormat="1" applyFont="1" applyBorder="1" applyAlignment="1">
      <alignment horizontal="center" vertical="center" shrinkToFit="1"/>
    </xf>
    <xf numFmtId="14" fontId="1" fillId="0" borderId="0" xfId="0" applyNumberFormat="1" applyFont="1" applyBorder="1" applyAlignment="1">
      <alignment vertical="center" shrinkToFit="1"/>
    </xf>
    <xf numFmtId="2" fontId="30" fillId="0" borderId="0" xfId="0" applyNumberFormat="1" applyFont="1" applyBorder="1" applyAlignment="1">
      <alignment horizontal="center" vertical="center" shrinkToFit="1"/>
    </xf>
    <xf numFmtId="2" fontId="37" fillId="0" borderId="0" xfId="0" applyNumberFormat="1" applyFont="1" applyBorder="1" applyAlignment="1">
      <alignment horizontal="center" vertical="center" shrinkToFit="1"/>
    </xf>
    <xf numFmtId="0" fontId="1" fillId="0" borderId="15" xfId="0" applyFont="1" applyBorder="1" applyAlignment="1">
      <alignment horizontal="center" vertical="center"/>
    </xf>
    <xf numFmtId="14" fontId="1" fillId="0" borderId="37" xfId="0" applyNumberFormat="1" applyFont="1" applyBorder="1" applyAlignment="1">
      <alignment vertical="center" shrinkToFit="1"/>
    </xf>
    <xf numFmtId="49" fontId="1" fillId="0" borderId="16" xfId="0" applyNumberFormat="1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49" fontId="1" fillId="0" borderId="37" xfId="0" applyNumberFormat="1" applyFont="1" applyBorder="1" applyAlignment="1">
      <alignment horizontal="center" vertical="center"/>
    </xf>
    <xf numFmtId="49" fontId="1" fillId="0" borderId="17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5" fillId="0" borderId="39" xfId="0" applyFont="1" applyBorder="1" applyAlignment="1">
      <alignment horizontal="center"/>
    </xf>
    <xf numFmtId="14" fontId="26" fillId="0" borderId="1" xfId="0" applyNumberFormat="1" applyFont="1" applyBorder="1" applyAlignment="1">
      <alignment vertical="center" shrinkToFit="1"/>
    </xf>
    <xf numFmtId="14" fontId="23" fillId="0" borderId="1" xfId="0" applyNumberFormat="1" applyFont="1" applyBorder="1" applyAlignment="1">
      <alignment vertical="center" shrinkToFit="1"/>
    </xf>
    <xf numFmtId="14" fontId="23" fillId="0" borderId="1" xfId="0" applyNumberFormat="1" applyFont="1" applyBorder="1" applyAlignment="1">
      <alignment vertical="center"/>
    </xf>
    <xf numFmtId="2" fontId="47" fillId="0" borderId="1" xfId="0" applyNumberFormat="1" applyFont="1" applyBorder="1" applyAlignment="1">
      <alignment horizontal="center" vertical="center"/>
    </xf>
    <xf numFmtId="165" fontId="48" fillId="0" borderId="1" xfId="0" applyNumberFormat="1" applyFont="1" applyBorder="1" applyAlignment="1">
      <alignment horizontal="center" vertical="center"/>
    </xf>
    <xf numFmtId="1" fontId="2" fillId="0" borderId="20" xfId="0" applyNumberFormat="1" applyFont="1" applyBorder="1" applyAlignment="1">
      <alignment horizontal="center" vertical="center"/>
    </xf>
    <xf numFmtId="2" fontId="30" fillId="0" borderId="31" xfId="0" applyNumberFormat="1" applyFont="1" applyBorder="1" applyAlignment="1">
      <alignment horizontal="center" vertical="center"/>
    </xf>
    <xf numFmtId="2" fontId="30" fillId="0" borderId="17" xfId="0" applyNumberFormat="1" applyFont="1" applyBorder="1" applyAlignment="1">
      <alignment horizontal="center" vertical="center"/>
    </xf>
    <xf numFmtId="2" fontId="30" fillId="0" borderId="37" xfId="0" applyNumberFormat="1" applyFont="1" applyBorder="1" applyAlignment="1">
      <alignment horizontal="center" vertical="center"/>
    </xf>
    <xf numFmtId="2" fontId="2" fillId="0" borderId="31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2" fontId="30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2" fontId="30" fillId="0" borderId="1" xfId="0" applyNumberFormat="1" applyFont="1" applyBorder="1" applyAlignment="1">
      <alignment horizontal="center" vertical="center"/>
    </xf>
    <xf numFmtId="2" fontId="49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14" fontId="1" fillId="4" borderId="1" xfId="0" applyNumberFormat="1" applyFont="1" applyFill="1" applyBorder="1" applyAlignment="1">
      <alignment vertical="center" shrinkToFit="1"/>
    </xf>
    <xf numFmtId="0" fontId="1" fillId="2" borderId="15" xfId="0" applyFont="1" applyFill="1" applyBorder="1"/>
    <xf numFmtId="0" fontId="1" fillId="2" borderId="0" xfId="0" applyFont="1" applyFill="1" applyBorder="1"/>
    <xf numFmtId="2" fontId="2" fillId="4" borderId="1" xfId="0" applyNumberFormat="1" applyFont="1" applyFill="1" applyBorder="1" applyAlignment="1">
      <alignment horizontal="center" vertical="center"/>
    </xf>
    <xf numFmtId="1" fontId="2" fillId="4" borderId="1" xfId="0" applyNumberFormat="1" applyFont="1" applyFill="1" applyBorder="1" applyAlignment="1">
      <alignment horizontal="center" vertical="center"/>
    </xf>
    <xf numFmtId="166" fontId="26" fillId="0" borderId="0" xfId="0" applyNumberFormat="1" applyFont="1" applyBorder="1" applyAlignment="1">
      <alignment horizontal="center" vertical="center"/>
    </xf>
    <xf numFmtId="14" fontId="26" fillId="0" borderId="0" xfId="0" applyNumberFormat="1" applyFont="1" applyBorder="1" applyAlignment="1">
      <alignment vertical="center" shrinkToFit="1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" fontId="1" fillId="0" borderId="0" xfId="0" applyNumberFormat="1" applyFont="1" applyBorder="1"/>
    <xf numFmtId="0" fontId="30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2" fontId="1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 shrinkToFit="1"/>
    </xf>
    <xf numFmtId="165" fontId="1" fillId="0" borderId="0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 shrinkToFit="1"/>
    </xf>
    <xf numFmtId="1" fontId="1" fillId="0" borderId="0" xfId="0" applyNumberFormat="1" applyFont="1" applyBorder="1" applyAlignment="1">
      <alignment vertical="center"/>
    </xf>
    <xf numFmtId="1" fontId="1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right" vertical="center"/>
    </xf>
    <xf numFmtId="1" fontId="30" fillId="0" borderId="0" xfId="0" applyNumberFormat="1" applyFont="1" applyBorder="1" applyAlignment="1">
      <alignment vertical="center"/>
    </xf>
    <xf numFmtId="0" fontId="37" fillId="0" borderId="0" xfId="0" applyFont="1" applyBorder="1" applyAlignment="1">
      <alignment horizontal="right" vertical="center"/>
    </xf>
    <xf numFmtId="165" fontId="30" fillId="0" borderId="0" xfId="0" applyNumberFormat="1" applyFont="1" applyBorder="1" applyAlignment="1">
      <alignment horizontal="center" vertical="center" shrinkToFit="1"/>
    </xf>
    <xf numFmtId="2" fontId="1" fillId="4" borderId="0" xfId="0" applyNumberFormat="1" applyFont="1" applyFill="1" applyBorder="1" applyAlignment="1">
      <alignment horizontal="center" vertical="center"/>
    </xf>
    <xf numFmtId="165" fontId="1" fillId="4" borderId="0" xfId="0" applyNumberFormat="1" applyFont="1" applyFill="1" applyBorder="1" applyAlignment="1">
      <alignment horizontal="center" vertical="center"/>
    </xf>
    <xf numFmtId="1" fontId="1" fillId="4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1" fillId="0" borderId="2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vertical="center" shrinkToFit="1"/>
    </xf>
    <xf numFmtId="14" fontId="42" fillId="0" borderId="19" xfId="0" applyNumberFormat="1" applyFont="1" applyBorder="1" applyAlignment="1">
      <alignment vertical="center" shrinkToFit="1"/>
    </xf>
    <xf numFmtId="0" fontId="42" fillId="0" borderId="19" xfId="0" applyFont="1" applyBorder="1" applyAlignment="1">
      <alignment horizontal="left" vertical="center" shrinkToFit="1"/>
    </xf>
    <xf numFmtId="0" fontId="1" fillId="0" borderId="19" xfId="0" applyFont="1" applyBorder="1" applyAlignment="1">
      <alignment vertical="center" shrinkToFit="1"/>
    </xf>
    <xf numFmtId="14" fontId="42" fillId="0" borderId="15" xfId="0" applyNumberFormat="1" applyFont="1" applyBorder="1" applyAlignment="1">
      <alignment vertical="center" shrinkToFit="1"/>
    </xf>
    <xf numFmtId="14" fontId="44" fillId="0" borderId="15" xfId="0" applyNumberFormat="1" applyFont="1" applyBorder="1" applyAlignment="1">
      <alignment horizontal="center" vertical="center"/>
    </xf>
    <xf numFmtId="1" fontId="1" fillId="0" borderId="20" xfId="0" applyNumberFormat="1" applyFont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1" fontId="2" fillId="0" borderId="19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/>
    </xf>
    <xf numFmtId="1" fontId="37" fillId="0" borderId="19" xfId="0" applyNumberFormat="1" applyFont="1" applyBorder="1" applyAlignment="1">
      <alignment horizontal="center" vertical="center"/>
    </xf>
    <xf numFmtId="1" fontId="1" fillId="0" borderId="31" xfId="0" applyNumberFormat="1" applyFont="1" applyBorder="1" applyAlignment="1">
      <alignment horizontal="center" vertical="center"/>
    </xf>
    <xf numFmtId="166" fontId="1" fillId="0" borderId="31" xfId="0" applyNumberFormat="1" applyFont="1" applyBorder="1" applyAlignment="1">
      <alignment horizontal="left" vertical="center"/>
    </xf>
    <xf numFmtId="1" fontId="1" fillId="0" borderId="31" xfId="0" applyNumberFormat="1" applyFont="1" applyBorder="1" applyAlignment="1">
      <alignment horizontal="center" vertical="center" shrinkToFit="1"/>
    </xf>
    <xf numFmtId="1" fontId="2" fillId="0" borderId="31" xfId="0" applyNumberFormat="1" applyFont="1" applyBorder="1" applyAlignment="1">
      <alignment horizontal="center"/>
    </xf>
    <xf numFmtId="1" fontId="1" fillId="4" borderId="31" xfId="0" applyNumberFormat="1" applyFont="1" applyFill="1" applyBorder="1" applyAlignment="1">
      <alignment horizontal="center" vertical="center"/>
    </xf>
    <xf numFmtId="166" fontId="42" fillId="0" borderId="31" xfId="0" applyNumberFormat="1" applyFont="1" applyBorder="1" applyAlignment="1">
      <alignment horizontal="left" vertical="center"/>
    </xf>
    <xf numFmtId="1" fontId="30" fillId="0" borderId="31" xfId="0" applyNumberFormat="1" applyFont="1" applyBorder="1" applyAlignment="1">
      <alignment horizontal="center" vertical="center" shrinkToFit="1"/>
    </xf>
    <xf numFmtId="1" fontId="37" fillId="0" borderId="15" xfId="0" applyNumberFormat="1" applyFont="1" applyBorder="1" applyAlignment="1">
      <alignment horizontal="center" vertical="center"/>
    </xf>
    <xf numFmtId="1" fontId="37" fillId="0" borderId="31" xfId="0" applyNumberFormat="1" applyFont="1" applyBorder="1" applyAlignment="1">
      <alignment horizontal="center"/>
    </xf>
    <xf numFmtId="0" fontId="2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vertical="center"/>
    </xf>
    <xf numFmtId="14" fontId="1" fillId="0" borderId="0" xfId="0" applyNumberFormat="1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/>
    </xf>
    <xf numFmtId="1" fontId="37" fillId="0" borderId="0" xfId="0" applyNumberFormat="1" applyFont="1" applyBorder="1" applyAlignment="1">
      <alignment horizontal="center" vertical="center"/>
    </xf>
    <xf numFmtId="0" fontId="30" fillId="0" borderId="0" xfId="0" applyFont="1" applyBorder="1" applyAlignment="1">
      <alignment vertical="center"/>
    </xf>
    <xf numFmtId="14" fontId="30" fillId="0" borderId="0" xfId="0" applyNumberFormat="1" applyFont="1" applyBorder="1" applyAlignment="1">
      <alignment horizontal="center" vertical="center"/>
    </xf>
    <xf numFmtId="14" fontId="30" fillId="0" borderId="0" xfId="0" applyNumberFormat="1" applyFont="1" applyBorder="1" applyAlignment="1">
      <alignment vertical="center" shrinkToFit="1"/>
    </xf>
    <xf numFmtId="0" fontId="37" fillId="0" borderId="0" xfId="0" applyFont="1" applyBorder="1" applyAlignment="1">
      <alignment horizontal="center"/>
    </xf>
    <xf numFmtId="20" fontId="42" fillId="0" borderId="0" xfId="0" applyNumberFormat="1" applyFont="1" applyAlignment="1">
      <alignment horizontal="center"/>
    </xf>
    <xf numFmtId="1" fontId="30" fillId="0" borderId="19" xfId="0" applyNumberFormat="1" applyFont="1" applyBorder="1" applyAlignment="1">
      <alignment horizontal="center" vertical="center"/>
    </xf>
    <xf numFmtId="14" fontId="44" fillId="0" borderId="0" xfId="0" applyNumberFormat="1" applyFont="1" applyBorder="1" applyAlignment="1">
      <alignment horizontal="center" vertical="center"/>
    </xf>
    <xf numFmtId="14" fontId="1" fillId="0" borderId="19" xfId="0" applyNumberFormat="1" applyFont="1" applyBorder="1" applyAlignment="1">
      <alignment vertical="center" shrinkToFit="1"/>
    </xf>
    <xf numFmtId="0" fontId="1" fillId="0" borderId="19" xfId="0" applyFont="1" applyBorder="1" applyAlignment="1">
      <alignment horizontal="left" vertical="center" shrinkToFit="1"/>
    </xf>
    <xf numFmtId="0" fontId="50" fillId="0" borderId="36" xfId="0" applyFont="1" applyBorder="1" applyAlignment="1">
      <alignment horizontal="left" vertical="top"/>
    </xf>
    <xf numFmtId="0" fontId="50" fillId="0" borderId="36" xfId="0" applyFont="1" applyBorder="1" applyAlignment="1">
      <alignment horizontal="left" vertical="top" wrapText="1"/>
    </xf>
    <xf numFmtId="0" fontId="50" fillId="3" borderId="36" xfId="0" applyFont="1" applyFill="1" applyBorder="1" applyAlignment="1">
      <alignment horizontal="left" vertical="top"/>
    </xf>
    <xf numFmtId="0" fontId="50" fillId="3" borderId="36" xfId="0" applyFont="1" applyFill="1" applyBorder="1" applyAlignment="1">
      <alignment horizontal="center" vertical="top"/>
    </xf>
    <xf numFmtId="0" fontId="50" fillId="3" borderId="36" xfId="0" applyFont="1" applyFill="1" applyBorder="1" applyAlignment="1">
      <alignment horizontal="left" vertical="top" wrapText="1"/>
    </xf>
    <xf numFmtId="0" fontId="52" fillId="3" borderId="36" xfId="0" applyFont="1" applyFill="1" applyBorder="1" applyAlignment="1">
      <alignment horizontal="center" vertical="center"/>
    </xf>
    <xf numFmtId="0" fontId="1" fillId="0" borderId="19" xfId="0" applyFont="1" applyBorder="1" applyAlignment="1">
      <alignment vertical="top" wrapText="1" shrinkToFit="1"/>
    </xf>
    <xf numFmtId="0" fontId="50" fillId="4" borderId="36" xfId="0" applyFont="1" applyFill="1" applyBorder="1" applyAlignment="1">
      <alignment horizontal="left" vertical="top"/>
    </xf>
    <xf numFmtId="0" fontId="50" fillId="4" borderId="36" xfId="0" applyFont="1" applyFill="1" applyBorder="1" applyAlignment="1">
      <alignment horizontal="left" vertical="top" wrapText="1"/>
    </xf>
    <xf numFmtId="0" fontId="23" fillId="0" borderId="0" xfId="0" applyFont="1" applyAlignment="1">
      <alignment horizontal="center"/>
    </xf>
    <xf numFmtId="0" fontId="1" fillId="0" borderId="1" xfId="0" applyFont="1" applyBorder="1" applyAlignment="1">
      <alignment horizontal="right"/>
    </xf>
    <xf numFmtId="0" fontId="35" fillId="0" borderId="0" xfId="0" applyFont="1" applyAlignment="1">
      <alignment horizontal="center" vertical="center"/>
    </xf>
    <xf numFmtId="0" fontId="50" fillId="3" borderId="1" xfId="0" applyFont="1" applyFill="1" applyBorder="1" applyAlignment="1">
      <alignment horizontal="left" vertical="top"/>
    </xf>
    <xf numFmtId="0" fontId="35" fillId="3" borderId="36" xfId="0" applyFont="1" applyFill="1" applyBorder="1"/>
    <xf numFmtId="0" fontId="52" fillId="3" borderId="1" xfId="0" applyFont="1" applyFill="1" applyBorder="1" applyAlignment="1">
      <alignment horizontal="center" vertical="center"/>
    </xf>
    <xf numFmtId="14" fontId="35" fillId="3" borderId="36" xfId="0" applyNumberFormat="1" applyFont="1" applyFill="1" applyBorder="1" applyAlignment="1">
      <alignment horizontal="center" vertical="center"/>
    </xf>
    <xf numFmtId="0" fontId="50" fillId="3" borderId="1" xfId="0" applyFont="1" applyFill="1" applyBorder="1" applyAlignment="1">
      <alignment horizontal="center" vertical="top"/>
    </xf>
    <xf numFmtId="0" fontId="35" fillId="3" borderId="36" xfId="0" applyFont="1" applyFill="1" applyBorder="1" applyAlignment="1">
      <alignment horizontal="left"/>
    </xf>
    <xf numFmtId="0" fontId="50" fillId="3" borderId="1" xfId="0" applyFont="1" applyFill="1" applyBorder="1" applyAlignment="1">
      <alignment horizontal="left" vertical="top" wrapText="1"/>
    </xf>
    <xf numFmtId="0" fontId="35" fillId="3" borderId="36" xfId="0" applyFont="1" applyFill="1" applyBorder="1" applyAlignment="1">
      <alignment horizontal="center"/>
    </xf>
    <xf numFmtId="0" fontId="1" fillId="3" borderId="36" xfId="0" applyFont="1" applyFill="1" applyBorder="1" applyAlignment="1">
      <alignment horizontal="left" vertical="center"/>
    </xf>
    <xf numFmtId="0" fontId="50" fillId="4" borderId="1" xfId="0" applyFont="1" applyFill="1" applyBorder="1" applyAlignment="1">
      <alignment horizontal="left" vertical="top"/>
    </xf>
    <xf numFmtId="0" fontId="35" fillId="4" borderId="36" xfId="0" applyFont="1" applyFill="1" applyBorder="1"/>
    <xf numFmtId="0" fontId="50" fillId="4" borderId="0" xfId="0" applyFont="1" applyFill="1" applyAlignment="1">
      <alignment horizontal="left" vertical="top" wrapText="1"/>
    </xf>
    <xf numFmtId="0" fontId="1" fillId="4" borderId="36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/>
    </xf>
    <xf numFmtId="0" fontId="53" fillId="4" borderId="36" xfId="0" applyFont="1" applyFill="1" applyBorder="1" applyAlignment="1">
      <alignment horizontal="left" vertical="top"/>
    </xf>
    <xf numFmtId="0" fontId="23" fillId="0" borderId="0" xfId="0" applyFont="1" applyBorder="1" applyAlignment="1">
      <alignment vertical="center"/>
    </xf>
    <xf numFmtId="14" fontId="23" fillId="0" borderId="0" xfId="0" applyNumberFormat="1" applyFont="1" applyBorder="1" applyAlignment="1">
      <alignment horizontal="center" vertical="center"/>
    </xf>
    <xf numFmtId="14" fontId="23" fillId="0" borderId="0" xfId="0" applyNumberFormat="1" applyFont="1" applyBorder="1" applyAlignment="1">
      <alignment vertical="center" shrinkToFit="1"/>
    </xf>
    <xf numFmtId="0" fontId="50" fillId="4" borderId="0" xfId="0" applyFont="1" applyFill="1" applyBorder="1" applyAlignment="1">
      <alignment horizontal="left" vertical="top"/>
    </xf>
    <xf numFmtId="0" fontId="50" fillId="4" borderId="0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/>
    </xf>
    <xf numFmtId="165" fontId="40" fillId="0" borderId="0" xfId="0" applyNumberFormat="1" applyFont="1" applyBorder="1" applyAlignment="1">
      <alignment horizontal="center"/>
    </xf>
    <xf numFmtId="14" fontId="1" fillId="0" borderId="5" xfId="0" applyNumberFormat="1" applyFont="1" applyBorder="1" applyAlignment="1">
      <alignment vertical="center" shrinkToFit="1"/>
    </xf>
    <xf numFmtId="0" fontId="24" fillId="2" borderId="1" xfId="0" applyFont="1" applyFill="1" applyBorder="1" applyAlignment="1">
      <alignment horizontal="center"/>
    </xf>
    <xf numFmtId="1" fontId="24" fillId="0" borderId="0" xfId="0" applyNumberFormat="1" applyFont="1" applyAlignment="1">
      <alignment horizontal="center"/>
    </xf>
    <xf numFmtId="0" fontId="45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vertical="center"/>
    </xf>
    <xf numFmtId="14" fontId="45" fillId="0" borderId="1" xfId="0" applyNumberFormat="1" applyFont="1" applyBorder="1" applyAlignment="1">
      <alignment horizontal="center" vertical="center"/>
    </xf>
    <xf numFmtId="14" fontId="45" fillId="0" borderId="5" xfId="0" applyNumberFormat="1" applyFont="1" applyBorder="1" applyAlignment="1">
      <alignment vertical="center" shrinkToFit="1"/>
    </xf>
    <xf numFmtId="2" fontId="24" fillId="0" borderId="1" xfId="0" applyNumberFormat="1" applyFont="1" applyBorder="1" applyAlignment="1">
      <alignment horizontal="center" vertical="center"/>
    </xf>
    <xf numFmtId="165" fontId="54" fillId="0" borderId="1" xfId="0" applyNumberFormat="1" applyFont="1" applyBorder="1" applyAlignment="1">
      <alignment horizontal="center" vertical="center"/>
    </xf>
    <xf numFmtId="1" fontId="24" fillId="0" borderId="6" xfId="0" applyNumberFormat="1" applyFont="1" applyBorder="1" applyAlignment="1">
      <alignment horizontal="center" vertical="center"/>
    </xf>
    <xf numFmtId="0" fontId="45" fillId="2" borderId="1" xfId="0" applyFont="1" applyFill="1" applyBorder="1" applyAlignment="1">
      <alignment vertical="center"/>
    </xf>
    <xf numFmtId="0" fontId="24" fillId="0" borderId="0" xfId="0" applyFont="1" applyAlignment="1">
      <alignment horizontal="center" shrinkToFit="1"/>
    </xf>
    <xf numFmtId="0" fontId="55" fillId="0" borderId="0" xfId="0" applyFont="1" applyAlignment="1">
      <alignment horizontal="center"/>
    </xf>
    <xf numFmtId="1" fontId="55" fillId="0" borderId="0" xfId="0" applyNumberFormat="1" applyFont="1" applyAlignment="1">
      <alignment horizontal="center"/>
    </xf>
    <xf numFmtId="0" fontId="45" fillId="0" borderId="0" xfId="0" applyFont="1" applyAlignment="1">
      <alignment horizontal="center"/>
    </xf>
    <xf numFmtId="14" fontId="45" fillId="0" borderId="0" xfId="0" applyNumberFormat="1" applyFont="1" applyAlignment="1">
      <alignment horizontal="center"/>
    </xf>
    <xf numFmtId="14" fontId="45" fillId="0" borderId="0" xfId="0" applyNumberFormat="1" applyFont="1" applyAlignment="1">
      <alignment shrinkToFit="1"/>
    </xf>
    <xf numFmtId="0" fontId="56" fillId="0" borderId="0" xfId="0" applyFont="1" applyAlignment="1">
      <alignment horizontal="center"/>
    </xf>
    <xf numFmtId="1" fontId="57" fillId="0" borderId="0" xfId="0" applyNumberFormat="1" applyFont="1"/>
    <xf numFmtId="0" fontId="45" fillId="0" borderId="0" xfId="0" applyFont="1"/>
    <xf numFmtId="0" fontId="45" fillId="2" borderId="1" xfId="0" applyFont="1" applyFill="1" applyBorder="1"/>
    <xf numFmtId="49" fontId="45" fillId="2" borderId="1" xfId="0" applyNumberFormat="1" applyFont="1" applyFill="1" applyBorder="1" applyAlignment="1">
      <alignment horizontal="center"/>
    </xf>
    <xf numFmtId="0" fontId="45" fillId="0" borderId="0" xfId="0" applyFont="1" applyAlignment="1">
      <alignment shrinkToFit="1"/>
    </xf>
    <xf numFmtId="0" fontId="57" fillId="0" borderId="0" xfId="0" applyFont="1"/>
    <xf numFmtId="0" fontId="45" fillId="0" borderId="0" xfId="0" applyFont="1" applyBorder="1" applyAlignment="1">
      <alignment horizontal="left" vertical="center"/>
    </xf>
    <xf numFmtId="0" fontId="45" fillId="0" borderId="0" xfId="0" applyFont="1" applyAlignment="1">
      <alignment vertical="center" wrapText="1"/>
    </xf>
    <xf numFmtId="0" fontId="45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vertical="center" wrapText="1"/>
    </xf>
    <xf numFmtId="14" fontId="45" fillId="0" borderId="1" xfId="0" applyNumberFormat="1" applyFont="1" applyBorder="1" applyAlignment="1">
      <alignment horizontal="center" vertical="center" wrapText="1"/>
    </xf>
    <xf numFmtId="14" fontId="45" fillId="0" borderId="5" xfId="0" applyNumberFormat="1" applyFont="1" applyBorder="1" applyAlignment="1">
      <alignment vertical="center" wrapText="1" shrinkToFit="1"/>
    </xf>
    <xf numFmtId="2" fontId="55" fillId="0" borderId="1" xfId="0" applyNumberFormat="1" applyFont="1" applyBorder="1" applyAlignment="1">
      <alignment horizontal="center" vertical="center" wrapText="1"/>
    </xf>
    <xf numFmtId="165" fontId="56" fillId="0" borderId="1" xfId="0" applyNumberFormat="1" applyFont="1" applyBorder="1" applyAlignment="1">
      <alignment horizontal="center" vertical="center" wrapText="1"/>
    </xf>
    <xf numFmtId="1" fontId="55" fillId="0" borderId="6" xfId="0" applyNumberFormat="1" applyFont="1" applyBorder="1" applyAlignment="1">
      <alignment horizontal="center" vertical="center" wrapText="1"/>
    </xf>
    <xf numFmtId="0" fontId="45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9" xfId="0" applyFont="1" applyBorder="1" applyAlignment="1">
      <alignment horizontal="left" vertical="center" wrapText="1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00D66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M164"/>
  <sheetViews>
    <sheetView view="pageBreakPreview" topLeftCell="A7" zoomScale="85" zoomScaleNormal="85" zoomScaleSheetLayoutView="85" workbookViewId="0">
      <selection activeCell="M25" sqref="M25"/>
    </sheetView>
  </sheetViews>
  <sheetFormatPr defaultColWidth="9.109375" defaultRowHeight="13.2" outlineLevelCol="1" x14ac:dyDescent="0.25"/>
  <cols>
    <col min="1" max="1" width="6" style="7" customWidth="1"/>
    <col min="2" max="2" width="4" style="6" customWidth="1"/>
    <col min="3" max="3" width="23.88671875" style="7" customWidth="1"/>
    <col min="4" max="4" width="8.44140625" style="32" customWidth="1"/>
    <col min="5" max="5" width="3.109375" style="7" bestFit="1" customWidth="1"/>
    <col min="6" max="6" width="7" style="7" customWidth="1"/>
    <col min="7" max="7" width="7.109375" style="6" customWidth="1"/>
    <col min="8" max="8" width="5.6640625" style="6" bestFit="1" customWidth="1"/>
    <col min="9" max="9" width="7.33203125" style="7" bestFit="1" customWidth="1"/>
    <col min="10" max="10" width="6.5546875" style="7" customWidth="1"/>
    <col min="11" max="11" width="9" style="6" customWidth="1"/>
    <col min="12" max="12" width="7" style="6" customWidth="1"/>
    <col min="13" max="13" width="5.44140625" style="6" customWidth="1"/>
    <col min="14" max="14" width="6" style="6" customWidth="1" outlineLevel="1"/>
    <col min="15" max="15" width="7.109375" style="6" customWidth="1" outlineLevel="1"/>
    <col min="16" max="16" width="5.6640625" style="18" customWidth="1"/>
    <col min="17" max="18" width="7.44140625" style="18" customWidth="1"/>
    <col min="19" max="19" width="4.109375" style="18" customWidth="1"/>
    <col min="20" max="20" width="2" style="18" bestFit="1" customWidth="1"/>
    <col min="21" max="21" width="8" style="7" customWidth="1" outlineLevel="1"/>
    <col min="22" max="22" width="7.44140625" style="7" customWidth="1" outlineLevel="1"/>
    <col min="23" max="23" width="5.6640625" style="7" customWidth="1" outlineLevel="1"/>
    <col min="24" max="24" width="8" style="7" customWidth="1" outlineLevel="1"/>
    <col min="25" max="25" width="5.6640625" style="7" customWidth="1" outlineLevel="1"/>
    <col min="26" max="26" width="6" style="7" customWidth="1" outlineLevel="1"/>
    <col min="27" max="27" width="5" style="7" customWidth="1" outlineLevel="1"/>
    <col min="28" max="28" width="6" style="7" customWidth="1" outlineLevel="1"/>
    <col min="29" max="29" width="6.88671875" style="7" customWidth="1" outlineLevel="1"/>
    <col min="30" max="30" width="5.109375" style="7" customWidth="1" outlineLevel="1"/>
    <col min="31" max="31" width="9.109375" style="7"/>
    <col min="32" max="32" width="4.5546875" style="6" bestFit="1" customWidth="1"/>
    <col min="33" max="33" width="7" style="6" bestFit="1" customWidth="1"/>
    <col min="34" max="34" width="6.5546875" style="7" bestFit="1" customWidth="1"/>
    <col min="35" max="35" width="6.5546875" style="6" bestFit="1" customWidth="1"/>
    <col min="36" max="16384" width="9.109375" style="7"/>
  </cols>
  <sheetData>
    <row r="1" spans="1:39" ht="12" customHeight="1" x14ac:dyDescent="0.25">
      <c r="A1" s="15" t="str">
        <f>Расп!$A$21</f>
        <v>МИНИСТЕРСТВО СПОРТА РОССИЙСКОЙ ФЕДЕРАЦИИ</v>
      </c>
      <c r="U1" s="16"/>
      <c r="V1" s="20">
        <v>0</v>
      </c>
      <c r="W1" s="52" t="s">
        <v>66</v>
      </c>
      <c r="X1" s="20"/>
      <c r="Y1" s="20"/>
      <c r="Z1" s="20"/>
      <c r="AA1" s="20"/>
      <c r="AB1" s="55"/>
      <c r="AC1" s="55"/>
      <c r="AD1" s="55"/>
      <c r="AF1" s="7"/>
      <c r="AG1" s="7"/>
      <c r="AI1" s="7"/>
    </row>
    <row r="2" spans="1:39" x14ac:dyDescent="0.25">
      <c r="A2" s="15" t="str">
        <f>Расп!$A$22</f>
        <v>ВСЕРОССИЙСКАЯ ФЕДЕРАЦИЯ ЛЕГКОЙ АТЛЕТИКИ</v>
      </c>
      <c r="U2" s="16"/>
      <c r="V2" s="20">
        <v>3800</v>
      </c>
      <c r="W2" s="52">
        <v>3</v>
      </c>
      <c r="X2" s="20"/>
      <c r="Y2" s="53"/>
      <c r="Z2" s="20"/>
      <c r="AA2" s="20"/>
      <c r="AB2" s="55"/>
      <c r="AC2" s="55"/>
      <c r="AD2" s="55"/>
      <c r="AF2" s="7"/>
      <c r="AG2" s="7"/>
      <c r="AI2" s="7"/>
    </row>
    <row r="3" spans="1:39" x14ac:dyDescent="0.25">
      <c r="A3" s="15" t="str">
        <f>Расп!$A$23</f>
        <v xml:space="preserve"> </v>
      </c>
      <c r="U3" s="16"/>
      <c r="V3" s="20">
        <v>4600</v>
      </c>
      <c r="W3" s="52">
        <v>2</v>
      </c>
      <c r="X3" s="20"/>
      <c r="Y3" s="53"/>
      <c r="Z3" s="20"/>
      <c r="AA3" s="20"/>
      <c r="AB3" s="55"/>
      <c r="AC3" s="55"/>
      <c r="AD3" s="55"/>
      <c r="AF3" s="7"/>
      <c r="AG3" s="7"/>
      <c r="AI3" s="7"/>
    </row>
    <row r="4" spans="1:39" x14ac:dyDescent="0.25">
      <c r="A4" s="6"/>
      <c r="U4" s="16"/>
      <c r="V4" s="20">
        <v>5500</v>
      </c>
      <c r="W4" s="52">
        <v>1</v>
      </c>
      <c r="X4" s="20"/>
      <c r="Y4" s="20"/>
      <c r="Z4" s="20"/>
      <c r="AA4" s="20"/>
      <c r="AB4" s="55"/>
      <c r="AC4" s="55"/>
      <c r="AD4" s="55"/>
      <c r="AF4" s="7"/>
      <c r="AG4" s="7"/>
      <c r="AI4" s="7"/>
    </row>
    <row r="5" spans="1:39" ht="15.6" x14ac:dyDescent="0.3">
      <c r="A5" s="8" t="str">
        <f>Расп!$A$25</f>
        <v>Командный чемпионат России</v>
      </c>
      <c r="C5" s="6"/>
      <c r="U5" s="16"/>
      <c r="V5" s="20">
        <v>6200</v>
      </c>
      <c r="W5" s="52" t="s">
        <v>61</v>
      </c>
      <c r="X5" s="20"/>
      <c r="Y5" s="20"/>
      <c r="Z5" s="20"/>
      <c r="AA5" s="20"/>
      <c r="AB5" s="55"/>
      <c r="AC5" s="55"/>
      <c r="AD5" s="55"/>
      <c r="AF5" s="7"/>
      <c r="AG5" s="7"/>
      <c r="AI5" s="7"/>
    </row>
    <row r="6" spans="1:39" x14ac:dyDescent="0.25">
      <c r="A6" s="9" t="str">
        <f>Расп!$A$26</f>
        <v>г.Сочи, Адлерский район, стадион "Юность"</v>
      </c>
      <c r="C6" s="6"/>
      <c r="F6" s="9" t="str">
        <f>Расп!$A$1</f>
        <v>04.09.2019 г.</v>
      </c>
      <c r="K6" s="9" t="str">
        <f>Расп!$A$7</f>
        <v>19.05.2019 г.</v>
      </c>
      <c r="L6" s="9"/>
      <c r="M6" s="9"/>
      <c r="O6" s="32" t="str">
        <f>Расп!C13</f>
        <v>До 23 лет</v>
      </c>
      <c r="P6" s="7"/>
      <c r="U6" s="16"/>
      <c r="V6" s="20">
        <v>7000</v>
      </c>
      <c r="W6" s="52" t="s">
        <v>60</v>
      </c>
      <c r="X6" s="20"/>
      <c r="Y6" s="20"/>
      <c r="Z6" s="20"/>
      <c r="AA6" s="20"/>
      <c r="AB6" s="55"/>
      <c r="AC6" s="55"/>
      <c r="AD6" s="55"/>
      <c r="AF6" s="7"/>
      <c r="AG6" s="7"/>
      <c r="AI6" s="7"/>
    </row>
    <row r="7" spans="1:39" x14ac:dyDescent="0.25">
      <c r="C7" s="6"/>
      <c r="E7" s="10"/>
      <c r="F7" s="45" t="str">
        <f>Расп!A2</f>
        <v>бег 100 м</v>
      </c>
      <c r="G7" s="51">
        <f>Расп!B2</f>
        <v>0.39583333333333331</v>
      </c>
      <c r="K7" s="45" t="str">
        <f>Расп!A8</f>
        <v>бег с барьерами 110 м (1,067 м)</v>
      </c>
      <c r="L7" s="51">
        <f>Расп!B8</f>
        <v>0.41666666666666669</v>
      </c>
      <c r="M7" s="7"/>
      <c r="N7" s="45" t="str">
        <f>Расп!$A$14</f>
        <v>РМ</v>
      </c>
      <c r="O7" s="6">
        <f>Расп!C14</f>
        <v>8617</v>
      </c>
      <c r="P7" s="7"/>
      <c r="R7" s="6"/>
      <c r="S7" s="6"/>
      <c r="U7" s="16"/>
      <c r="V7" s="20">
        <v>8100</v>
      </c>
      <c r="W7" s="52" t="s">
        <v>62</v>
      </c>
      <c r="X7" s="20"/>
      <c r="Y7" s="20"/>
      <c r="Z7" s="20"/>
      <c r="AA7" s="20"/>
      <c r="AB7" s="55"/>
      <c r="AC7" s="55"/>
      <c r="AD7" s="55"/>
      <c r="AF7" s="7"/>
      <c r="AG7" s="7"/>
      <c r="AI7" s="7"/>
    </row>
    <row r="8" spans="1:39" ht="15.6" x14ac:dyDescent="0.3">
      <c r="B8" s="7"/>
      <c r="C8" s="8" t="str">
        <f>Расп!$A$27</f>
        <v>по многоборью</v>
      </c>
      <c r="E8" s="10"/>
      <c r="F8" s="45" t="str">
        <f>Расп!A3</f>
        <v>прыжок в длину</v>
      </c>
      <c r="G8" s="51">
        <f>Расп!B3</f>
        <v>0.42708333333333331</v>
      </c>
      <c r="H8" s="22"/>
      <c r="I8" s="10"/>
      <c r="J8" s="10"/>
      <c r="K8" s="45" t="str">
        <f>Расп!A9</f>
        <v>метание диска (2,0 кг)</v>
      </c>
      <c r="L8" s="51">
        <f>Расп!B9</f>
        <v>0.4513888888888889</v>
      </c>
      <c r="M8" s="7"/>
      <c r="N8" s="45" t="str">
        <f>Расп!$A$15</f>
        <v>РЕ</v>
      </c>
      <c r="O8" s="6">
        <f>Расп!C15</f>
        <v>8617</v>
      </c>
      <c r="P8" s="7"/>
      <c r="R8" s="6"/>
      <c r="S8" s="6"/>
      <c r="U8" s="17" t="s">
        <v>22</v>
      </c>
      <c r="V8" s="20"/>
      <c r="W8" s="20"/>
      <c r="X8" s="20"/>
      <c r="Y8" s="20"/>
      <c r="Z8" s="20"/>
      <c r="AA8" s="20"/>
      <c r="AB8" s="55"/>
      <c r="AC8" s="55"/>
      <c r="AD8" s="55"/>
      <c r="AF8" s="7"/>
      <c r="AG8" s="7"/>
      <c r="AI8" s="7"/>
    </row>
    <row r="9" spans="1:39" ht="15.6" x14ac:dyDescent="0.3">
      <c r="B9" s="8"/>
      <c r="C9" s="44" t="str">
        <f>Расп!A28</f>
        <v>Мужчины</v>
      </c>
      <c r="F9" s="45" t="str">
        <f>Расп!A4</f>
        <v>толкание ядра (7,26 кг)</v>
      </c>
      <c r="G9" s="51">
        <f>Расп!B4</f>
        <v>0.46875</v>
      </c>
      <c r="K9" s="45" t="str">
        <f>Расп!A10</f>
        <v>прыжок с шестом</v>
      </c>
      <c r="L9" s="51">
        <f>Расп!B10</f>
        <v>0.52777777777777779</v>
      </c>
      <c r="M9" s="7"/>
      <c r="N9" s="45" t="str">
        <f>Расп!$A$16</f>
        <v>РР</v>
      </c>
      <c r="O9" s="6">
        <f>Расп!C16</f>
        <v>8365</v>
      </c>
      <c r="P9" s="7"/>
      <c r="R9" s="6"/>
      <c r="S9" s="6"/>
      <c r="U9" s="17" t="s">
        <v>23</v>
      </c>
      <c r="V9" s="20"/>
      <c r="W9" s="20"/>
      <c r="X9" s="20"/>
      <c r="Y9" s="20"/>
      <c r="Z9" s="20"/>
      <c r="AA9" s="20"/>
      <c r="AB9" s="55"/>
      <c r="AC9" s="55"/>
      <c r="AD9" s="55"/>
      <c r="AF9" s="7"/>
      <c r="AG9" s="7"/>
      <c r="AI9" s="7"/>
    </row>
    <row r="10" spans="1:39" ht="15.6" x14ac:dyDescent="0.3">
      <c r="C10" s="44">
        <f>Расп!A29</f>
        <v>0</v>
      </c>
      <c r="F10" s="45" t="str">
        <f>Расп!A5</f>
        <v>прыжок в высоту</v>
      </c>
      <c r="G10" s="51">
        <f>Расп!B5</f>
        <v>0.625</v>
      </c>
      <c r="H10" s="11"/>
      <c r="K10" s="45" t="str">
        <f>Расп!A11</f>
        <v>метание копья (800 г)</v>
      </c>
      <c r="L10" s="51">
        <f>Расп!B11</f>
        <v>0.625</v>
      </c>
      <c r="M10" s="7"/>
      <c r="O10" s="14"/>
      <c r="U10" s="17" t="s">
        <v>24</v>
      </c>
      <c r="V10" s="20"/>
      <c r="W10" s="20"/>
      <c r="X10" s="20"/>
      <c r="Y10" s="20"/>
      <c r="Z10" s="20"/>
      <c r="AA10" s="20"/>
      <c r="AB10" s="55"/>
      <c r="AC10" s="55"/>
      <c r="AD10" s="55"/>
      <c r="AF10" s="7"/>
      <c r="AG10" s="7"/>
      <c r="AI10" s="7"/>
    </row>
    <row r="11" spans="1:39" ht="15.6" x14ac:dyDescent="0.3">
      <c r="C11" s="111" t="s">
        <v>11</v>
      </c>
      <c r="F11" s="45" t="str">
        <f>Расп!A6</f>
        <v>бег 400 м</v>
      </c>
      <c r="G11" s="51">
        <f>Расп!B6</f>
        <v>0.72916666666666663</v>
      </c>
      <c r="H11" s="11"/>
      <c r="K11" s="45" t="str">
        <f>Расп!A12</f>
        <v>бег 1500 м</v>
      </c>
      <c r="L11" s="51">
        <f>Расп!B12</f>
        <v>0.76388888888888884</v>
      </c>
      <c r="M11" s="7"/>
      <c r="O11" s="14"/>
      <c r="U11" s="17"/>
      <c r="V11" s="20"/>
      <c r="W11" s="20"/>
      <c r="X11" s="20"/>
      <c r="Y11" s="20"/>
      <c r="Z11" s="20"/>
      <c r="AA11" s="20"/>
      <c r="AB11" s="55"/>
      <c r="AC11" s="55"/>
      <c r="AD11" s="55"/>
      <c r="AF11" s="7"/>
      <c r="AG11" s="7"/>
      <c r="AI11" s="7"/>
    </row>
    <row r="12" spans="1:39" ht="18" customHeight="1" x14ac:dyDescent="0.3">
      <c r="C12" s="8" t="s">
        <v>104</v>
      </c>
      <c r="U12" s="57"/>
      <c r="V12" s="20"/>
      <c r="W12" s="20"/>
      <c r="X12" s="20"/>
      <c r="Y12" s="20"/>
      <c r="Z12" s="20"/>
      <c r="AA12" s="20"/>
      <c r="AB12" s="55"/>
      <c r="AC12" s="55"/>
      <c r="AD12" s="55"/>
      <c r="AF12" s="7"/>
      <c r="AG12" s="7"/>
      <c r="AI12" s="7"/>
    </row>
    <row r="13" spans="1:39" s="95" customFormat="1" ht="12.6" thickBot="1" x14ac:dyDescent="0.3">
      <c r="A13" s="89" t="s">
        <v>37</v>
      </c>
      <c r="B13" s="89" t="s">
        <v>20</v>
      </c>
      <c r="C13" s="89" t="s">
        <v>16</v>
      </c>
      <c r="D13" s="89" t="s">
        <v>85</v>
      </c>
      <c r="E13" s="90"/>
      <c r="F13" s="89" t="s">
        <v>71</v>
      </c>
      <c r="G13" s="89" t="s">
        <v>26</v>
      </c>
      <c r="H13" s="89" t="s">
        <v>27</v>
      </c>
      <c r="I13" s="89" t="s">
        <v>17</v>
      </c>
      <c r="J13" s="89" t="s">
        <v>72</v>
      </c>
      <c r="K13" s="89" t="s">
        <v>73</v>
      </c>
      <c r="L13" s="89" t="s">
        <v>69</v>
      </c>
      <c r="M13" s="89" t="s">
        <v>70</v>
      </c>
      <c r="N13" s="89" t="s">
        <v>18</v>
      </c>
      <c r="O13" s="89" t="s">
        <v>74</v>
      </c>
      <c r="P13" s="91" t="s">
        <v>29</v>
      </c>
      <c r="Q13" s="91" t="s">
        <v>1</v>
      </c>
      <c r="R13" s="91" t="s">
        <v>65</v>
      </c>
      <c r="S13" s="92"/>
      <c r="T13" s="92"/>
      <c r="U13" s="93">
        <v>100</v>
      </c>
      <c r="V13" s="93" t="s">
        <v>26</v>
      </c>
      <c r="W13" s="93" t="s">
        <v>27</v>
      </c>
      <c r="X13" s="93" t="s">
        <v>17</v>
      </c>
      <c r="Y13" s="93">
        <v>400</v>
      </c>
      <c r="Z13" s="93" t="s">
        <v>75</v>
      </c>
      <c r="AA13" s="93" t="s">
        <v>69</v>
      </c>
      <c r="AB13" s="94" t="s">
        <v>70</v>
      </c>
      <c r="AC13" s="94" t="s">
        <v>18</v>
      </c>
      <c r="AD13" s="94">
        <v>1500</v>
      </c>
    </row>
    <row r="14" spans="1:39" s="11" customFormat="1" ht="6" customHeight="1" thickTop="1" x14ac:dyDescent="0.25">
      <c r="D14" s="44"/>
      <c r="P14" s="19"/>
      <c r="Q14" s="19"/>
      <c r="R14" s="19"/>
      <c r="S14" s="19"/>
      <c r="T14" s="19"/>
      <c r="U14" s="58"/>
      <c r="V14" s="21"/>
      <c r="W14" s="21"/>
      <c r="X14" s="21"/>
      <c r="Y14" s="21"/>
      <c r="Z14" s="21"/>
      <c r="AA14" s="21"/>
      <c r="AB14" s="56"/>
      <c r="AC14" s="56"/>
      <c r="AD14" s="56"/>
    </row>
    <row r="15" spans="1:39" s="11" customFormat="1" ht="6" customHeight="1" thickBot="1" x14ac:dyDescent="0.3">
      <c r="A15" s="42"/>
      <c r="B15" s="42"/>
      <c r="C15" s="42"/>
      <c r="D15" s="48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9"/>
      <c r="Q15" s="49"/>
      <c r="R15" s="49"/>
      <c r="S15" s="19"/>
      <c r="T15" s="19"/>
      <c r="U15" s="17"/>
      <c r="V15" s="21"/>
      <c r="W15" s="21"/>
      <c r="X15" s="21"/>
      <c r="Y15" s="21"/>
      <c r="Z15" s="21"/>
      <c r="AA15" s="21"/>
      <c r="AB15" s="56"/>
      <c r="AC15" s="56"/>
      <c r="AD15" s="56"/>
    </row>
    <row r="16" spans="1:39" s="31" customFormat="1" ht="13.5" customHeight="1" thickTop="1" x14ac:dyDescent="0.35">
      <c r="A16" s="35" t="e">
        <f>RANK(P16,$P$16:$P$165,0)</f>
        <v>#N/A</v>
      </c>
      <c r="B16" s="35">
        <v>34</v>
      </c>
      <c r="C16" s="60" t="e">
        <f>VLOOKUP(B16,Уч!$A$2:$L$26,2,FALSE)</f>
        <v>#N/A</v>
      </c>
      <c r="D16" s="107" t="e">
        <f>VLOOKUP(B16,Уч!$A$2:$L$26,3,FALSE)</f>
        <v>#N/A</v>
      </c>
      <c r="E16" s="33" t="s">
        <v>28</v>
      </c>
      <c r="F16" s="61" t="e">
        <f>VLOOKUP($B16,'100 м 1'!$C$18:$I$86,5,FALSE)</f>
        <v>#N/A</v>
      </c>
      <c r="G16" s="62" t="e">
        <f>VLOOKUP($B16,'длина 2 '!$C$16:$O$54,11,FALSE)</f>
        <v>#N/A</v>
      </c>
      <c r="H16" s="62" t="e">
        <f>VLOOKUP($B16,'ядро 2'!$C$16:$K$60,8,FALSE)</f>
        <v>#N/A</v>
      </c>
      <c r="I16" s="62" t="e">
        <f>VLOOKUP($B16,'высота 2'!$C$16:$AF$57,23,FALSE)</f>
        <v>#N/A</v>
      </c>
      <c r="J16" s="62" t="e">
        <f>VLOOKUP($B16,'4_р'!$C$17:$H$73,5,FALSE)</f>
        <v>#N/A</v>
      </c>
      <c r="K16" s="62" t="e">
        <f>VLOOKUP($B16,'1cб_р'!$C$17:$I$63,5,FALSE)</f>
        <v>#N/A</v>
      </c>
      <c r="L16" s="62" t="e">
        <f>VLOOKUP($B16,Дс_р!$C$16:$K$70,8,FALSE)</f>
        <v>#N/A</v>
      </c>
      <c r="M16" s="62" t="e">
        <f>VLOOKUP($B16,Ш_р!$C$15:$AF$69,17,FALSE)</f>
        <v>#N/A</v>
      </c>
      <c r="N16" s="62" t="e">
        <f>VLOOKUP($B16,К_р!$C$15:$K$68,8,FALSE)</f>
        <v>#N/A</v>
      </c>
      <c r="O16" s="70" t="e">
        <f>VLOOKUP($B16,'15_р'!$C$17:$H$86,5,FALSE)</f>
        <v>#N/A</v>
      </c>
      <c r="P16" s="97" t="e">
        <f>SUM(F18:O18)</f>
        <v>#N/A</v>
      </c>
      <c r="Q16" s="35" t="e">
        <f>LOOKUP(P16,$V$1:$V$7,$W$1:$W$7)</f>
        <v>#N/A</v>
      </c>
      <c r="R16" s="35"/>
      <c r="S16" s="31" t="e">
        <f>$A16</f>
        <v>#N/A</v>
      </c>
      <c r="T16" s="31">
        <v>1</v>
      </c>
      <c r="U16" s="83"/>
      <c r="V16" s="78"/>
      <c r="W16" s="78"/>
      <c r="X16" s="78"/>
      <c r="Y16" s="78"/>
      <c r="Z16" s="78"/>
      <c r="AA16" s="78"/>
      <c r="AB16" s="79"/>
      <c r="AC16" s="79"/>
      <c r="AD16" s="79"/>
      <c r="AE16" s="60"/>
      <c r="AF16" s="35"/>
      <c r="AG16" s="35"/>
      <c r="AH16" s="60"/>
      <c r="AI16" s="35"/>
      <c r="AJ16" s="60"/>
      <c r="AK16" s="60"/>
      <c r="AL16" s="60"/>
      <c r="AM16" s="60"/>
    </row>
    <row r="17" spans="1:39" s="31" customFormat="1" ht="13.5" customHeight="1" x14ac:dyDescent="0.35">
      <c r="A17" s="35"/>
      <c r="B17" s="35"/>
      <c r="C17" s="66" t="e">
        <f>VLOOKUP(B16,Уч!$A$2:$L$26,5,FALSE)</f>
        <v>#N/A</v>
      </c>
      <c r="D17" s="107" t="e">
        <f>VLOOKUP(B16,Уч!$A$2:$L$26,4,FALSE)</f>
        <v>#N/A</v>
      </c>
      <c r="E17" s="33" t="s">
        <v>97</v>
      </c>
      <c r="F17" s="68" t="e">
        <f>VLOOKUP($B16,'100 м 1'!$C$18:$I$86,6,FALSE)</f>
        <v>#N/A</v>
      </c>
      <c r="G17" s="69" t="e">
        <f>VLOOKUP($B16,'длина 2 '!$C$16:$O$54,12,FALSE)</f>
        <v>#N/A</v>
      </c>
      <c r="H17" s="70"/>
      <c r="I17" s="69"/>
      <c r="J17" s="69"/>
      <c r="K17" s="69" t="e">
        <f>VLOOKUP($B16,'1cб_р'!$C$17:$I$63,6,FALSE)</f>
        <v>#N/A</v>
      </c>
      <c r="L17" s="69"/>
      <c r="M17" s="69"/>
      <c r="N17" s="70"/>
      <c r="O17" s="70"/>
      <c r="P17" s="97"/>
      <c r="Q17" s="80"/>
      <c r="R17" s="63"/>
      <c r="S17" s="31" t="e">
        <f>$A16</f>
        <v>#N/A</v>
      </c>
      <c r="T17" s="31">
        <v>2</v>
      </c>
      <c r="U17" s="83"/>
      <c r="V17" s="78"/>
      <c r="W17" s="78"/>
      <c r="X17" s="78"/>
      <c r="Y17" s="78"/>
      <c r="Z17" s="78"/>
      <c r="AA17" s="78"/>
      <c r="AB17" s="79"/>
      <c r="AC17" s="79"/>
      <c r="AD17" s="79"/>
      <c r="AE17" s="60"/>
      <c r="AF17" s="35"/>
      <c r="AG17" s="35"/>
      <c r="AH17" s="60"/>
      <c r="AI17" s="35"/>
      <c r="AJ17" s="60"/>
      <c r="AK17" s="60"/>
      <c r="AL17" s="60"/>
      <c r="AM17" s="60"/>
    </row>
    <row r="18" spans="1:39" s="31" customFormat="1" ht="13.5" customHeight="1" x14ac:dyDescent="0.35">
      <c r="A18" s="35"/>
      <c r="B18" s="35"/>
      <c r="C18" s="67" t="e">
        <f>VLOOKUP(B16,Уч!$A$2:$L$26,7,FALSE)</f>
        <v>#N/A</v>
      </c>
      <c r="D18" s="107"/>
      <c r="E18" s="33" t="s">
        <v>77</v>
      </c>
      <c r="F18" s="72" t="e">
        <f>VLOOKUP($B16,'100 м 1'!$C$18:$I$86,7,FALSE)</f>
        <v>#N/A</v>
      </c>
      <c r="G18" s="70" t="e">
        <f>VLOOKUP($B16,'длина 2 '!$C$16:$O$54,13,FALSE)</f>
        <v>#N/A</v>
      </c>
      <c r="H18" s="70" t="e">
        <f>VLOOKUP($B16,'ядро 2'!$C$16:$K$60,9,FALSE)</f>
        <v>#N/A</v>
      </c>
      <c r="I18" s="70" t="e">
        <f>VLOOKUP($B16,'высота 2'!$C$16:$AF$57,24,)</f>
        <v>#N/A</v>
      </c>
      <c r="J18" s="70" t="e">
        <f>VLOOKUP($B16,'4_р'!$C$17:$H$73,6,FALSE)</f>
        <v>#N/A</v>
      </c>
      <c r="K18" s="70" t="e">
        <f>VLOOKUP($B16,'1cб_р'!$C$17:$I$63,7,FALSE)</f>
        <v>#N/A</v>
      </c>
      <c r="L18" s="70" t="e">
        <f>VLOOKUP($B16,Дс_р!$C$16:$K$70,9,FALSE)</f>
        <v>#N/A</v>
      </c>
      <c r="M18" s="70" t="e">
        <f>VLOOKUP($B16,Ш_р!$C$15:$AF$69,18,FALSE)</f>
        <v>#N/A</v>
      </c>
      <c r="N18" s="70" t="e">
        <f>VLOOKUP($B16,К_р!$C$15:$K$68,9,FALSE)</f>
        <v>#N/A</v>
      </c>
      <c r="O18" s="70" t="e">
        <f>VLOOKUP($B16,'15_р'!$C$17:$H$86,6,FALSE)</f>
        <v>#N/A</v>
      </c>
      <c r="P18" s="97"/>
      <c r="Q18" s="80"/>
      <c r="R18" s="63"/>
      <c r="S18" s="31" t="e">
        <f>$A16</f>
        <v>#N/A</v>
      </c>
      <c r="T18" s="31">
        <v>3</v>
      </c>
      <c r="U18" s="83"/>
      <c r="V18" s="78"/>
      <c r="W18" s="78"/>
      <c r="X18" s="78"/>
      <c r="Y18" s="78"/>
      <c r="Z18" s="78"/>
      <c r="AA18" s="78"/>
      <c r="AB18" s="79"/>
      <c r="AC18" s="79"/>
      <c r="AD18" s="79"/>
      <c r="AE18" s="60"/>
      <c r="AF18" s="35"/>
      <c r="AG18" s="35"/>
      <c r="AH18" s="60"/>
      <c r="AI18" s="35"/>
      <c r="AJ18" s="60"/>
      <c r="AK18" s="60"/>
      <c r="AL18" s="60"/>
      <c r="AM18" s="60"/>
    </row>
    <row r="19" spans="1:39" s="31" customFormat="1" ht="13.5" customHeight="1" x14ac:dyDescent="0.35">
      <c r="A19" s="35"/>
      <c r="B19" s="35"/>
      <c r="C19" s="66" t="e">
        <f>VLOOKUP(B16,Уч!$A$2:$L$26,11,FALSE)</f>
        <v>#N/A</v>
      </c>
      <c r="D19" s="107"/>
      <c r="E19" s="33" t="s">
        <v>98</v>
      </c>
      <c r="F19" s="72" t="e">
        <f>F18</f>
        <v>#N/A</v>
      </c>
      <c r="G19" s="70" t="e">
        <f>F19+G18</f>
        <v>#N/A</v>
      </c>
      <c r="H19" s="70" t="e">
        <f>G19+H18</f>
        <v>#N/A</v>
      </c>
      <c r="I19" s="70" t="e">
        <f>H19+I18</f>
        <v>#N/A</v>
      </c>
      <c r="J19" s="70" t="e">
        <f>SUM($F18:J18)</f>
        <v>#N/A</v>
      </c>
      <c r="K19" s="70" t="e">
        <f>SUM($F18:$K18)</f>
        <v>#N/A</v>
      </c>
      <c r="L19" s="70" t="e">
        <f>K19+L18</f>
        <v>#N/A</v>
      </c>
      <c r="M19" s="70" t="e">
        <f>L19+M18</f>
        <v>#N/A</v>
      </c>
      <c r="N19" s="70" t="e">
        <f>SUM($F18:$N18)</f>
        <v>#N/A</v>
      </c>
      <c r="O19" s="70" t="e">
        <f>SUM($F18:$O18)</f>
        <v>#N/A</v>
      </c>
      <c r="P19" s="97"/>
      <c r="Q19" s="80"/>
      <c r="R19" s="63"/>
      <c r="S19" s="31" t="e">
        <f>$A16</f>
        <v>#N/A</v>
      </c>
      <c r="T19" s="31">
        <v>4</v>
      </c>
      <c r="U19" s="63" t="e">
        <f t="shared" ref="U19:AD19" si="0">F19</f>
        <v>#N/A</v>
      </c>
      <c r="V19" s="63" t="e">
        <f t="shared" si="0"/>
        <v>#N/A</v>
      </c>
      <c r="W19" s="63" t="e">
        <f t="shared" si="0"/>
        <v>#N/A</v>
      </c>
      <c r="X19" s="63" t="e">
        <f t="shared" si="0"/>
        <v>#N/A</v>
      </c>
      <c r="Y19" s="63" t="e">
        <f t="shared" si="0"/>
        <v>#N/A</v>
      </c>
      <c r="Z19" s="63" t="e">
        <f t="shared" si="0"/>
        <v>#N/A</v>
      </c>
      <c r="AA19" s="63" t="e">
        <f t="shared" si="0"/>
        <v>#N/A</v>
      </c>
      <c r="AB19" s="63" t="e">
        <f t="shared" si="0"/>
        <v>#N/A</v>
      </c>
      <c r="AC19" s="63" t="e">
        <f t="shared" si="0"/>
        <v>#N/A</v>
      </c>
      <c r="AD19" s="63" t="e">
        <f t="shared" si="0"/>
        <v>#N/A</v>
      </c>
      <c r="AE19" s="60"/>
      <c r="AF19" s="35"/>
      <c r="AG19" s="35"/>
      <c r="AH19" s="60"/>
      <c r="AI19" s="35"/>
      <c r="AJ19" s="60"/>
      <c r="AK19" s="60"/>
      <c r="AL19" s="60"/>
      <c r="AM19" s="60"/>
    </row>
    <row r="20" spans="1:39" s="31" customFormat="1" ht="13.5" customHeight="1" thickBot="1" x14ac:dyDescent="0.4">
      <c r="A20" s="73"/>
      <c r="B20" s="73"/>
      <c r="C20" s="74" t="e">
        <f>VLOOKUP(B16,Уч!$A$2:$L$26,12,FALSE)</f>
        <v>#N/A</v>
      </c>
      <c r="D20" s="108"/>
      <c r="E20" s="43" t="s">
        <v>37</v>
      </c>
      <c r="F20" s="75" t="e">
        <f>RANK(F19,$U$19:$U$165,0)</f>
        <v>#N/A</v>
      </c>
      <c r="G20" s="76" t="e">
        <f>RANK(G19,$V$19:$V$165,0)</f>
        <v>#N/A</v>
      </c>
      <c r="H20" s="76" t="e">
        <f>RANK(H19,$W$19:$W$165,0)</f>
        <v>#N/A</v>
      </c>
      <c r="I20" s="76" t="e">
        <f>RANK(I19,$X$19:$X$165,0)</f>
        <v>#N/A</v>
      </c>
      <c r="J20" s="76" t="e">
        <f>RANK(J19,$Y$19:$Y$165,0)</f>
        <v>#N/A</v>
      </c>
      <c r="K20" s="76" t="e">
        <f>RANK(K19,$Z$19:$Z$165,0)</f>
        <v>#N/A</v>
      </c>
      <c r="L20" s="76" t="e">
        <f>RANK(L19,$AA$19:$AA$165,0)</f>
        <v>#N/A</v>
      </c>
      <c r="M20" s="76" t="e">
        <f>RANK(M19,$AB$19:$AB$155,0)</f>
        <v>#N/A</v>
      </c>
      <c r="N20" s="76" t="e">
        <f>RANK(N19,$AC$19:$AC$165,0)</f>
        <v>#N/A</v>
      </c>
      <c r="O20" s="76" t="e">
        <f>RANK(O19,$AD$19:$AD$165,0)</f>
        <v>#N/A</v>
      </c>
      <c r="P20" s="98"/>
      <c r="Q20" s="77"/>
      <c r="R20" s="77"/>
      <c r="S20" s="31" t="e">
        <f>$A16</f>
        <v>#N/A</v>
      </c>
      <c r="T20" s="31">
        <v>5</v>
      </c>
      <c r="U20" s="83"/>
      <c r="V20" s="78"/>
      <c r="W20" s="78"/>
      <c r="X20" s="78"/>
      <c r="Y20" s="78"/>
      <c r="Z20" s="78"/>
      <c r="AA20" s="78"/>
      <c r="AB20" s="79"/>
      <c r="AC20" s="79"/>
      <c r="AD20" s="79"/>
      <c r="AE20" s="60"/>
      <c r="AF20" s="35"/>
      <c r="AG20" s="35"/>
      <c r="AH20" s="60"/>
      <c r="AI20" s="35"/>
      <c r="AJ20" s="60"/>
      <c r="AK20" s="60"/>
      <c r="AL20" s="60"/>
      <c r="AM20" s="60"/>
    </row>
    <row r="21" spans="1:39" s="60" customFormat="1" ht="13.5" customHeight="1" thickTop="1" x14ac:dyDescent="0.35">
      <c r="A21" s="35" t="e">
        <f>RANK(P21,$P$16:$P$165,0)</f>
        <v>#N/A</v>
      </c>
      <c r="B21" s="35">
        <v>17</v>
      </c>
      <c r="C21" s="60" t="e">
        <f>VLOOKUP(B21,Уч!$A$2:$L$26,2,FALSE)</f>
        <v>#N/A</v>
      </c>
      <c r="D21" s="107" t="e">
        <f>VLOOKUP(B21,Уч!$A$2:$L$26,3,FALSE)</f>
        <v>#N/A</v>
      </c>
      <c r="E21" s="33" t="s">
        <v>28</v>
      </c>
      <c r="F21" s="61" t="e">
        <f>VLOOKUP($B21,'100 м 1'!$C$18:$I$86,5,FALSE)</f>
        <v>#N/A</v>
      </c>
      <c r="G21" s="62" t="e">
        <f>VLOOKUP($B21,'длина 2 '!$C$16:$O$54,11,FALSE)</f>
        <v>#N/A</v>
      </c>
      <c r="H21" s="62" t="e">
        <f>VLOOKUP($B21,'ядро 2'!$C$16:$K$60,8,FALSE)</f>
        <v>#N/A</v>
      </c>
      <c r="I21" s="62" t="e">
        <f>VLOOKUP($B21,'высота 2'!$C$16:$AF$57,23,FALSE)</f>
        <v>#N/A</v>
      </c>
      <c r="J21" s="62" t="e">
        <f>VLOOKUP($B21,'4_р'!$C$17:$H$73,5,FALSE)</f>
        <v>#N/A</v>
      </c>
      <c r="K21" s="62" t="e">
        <f>VLOOKUP($B21,'1cб_р'!$C$17:$I$63,5,FALSE)</f>
        <v>#N/A</v>
      </c>
      <c r="L21" s="62" t="e">
        <f>VLOOKUP($B21,Дс_р!$C$16:$K$70,8,FALSE)</f>
        <v>#N/A</v>
      </c>
      <c r="M21" s="62" t="e">
        <f>VLOOKUP($B21,Ш_р!$C$15:$AF$69,17,FALSE)</f>
        <v>#N/A</v>
      </c>
      <c r="N21" s="62" t="e">
        <f>VLOOKUP($B21,К_р!$C$15:$K$68,8,FALSE)</f>
        <v>#N/A</v>
      </c>
      <c r="O21" s="70" t="e">
        <f>VLOOKUP($B21,'15_р'!$C$17:$H$86,5,FALSE)</f>
        <v>#N/A</v>
      </c>
      <c r="P21" s="97" t="e">
        <f>SUM(F23:O23)</f>
        <v>#N/A</v>
      </c>
      <c r="Q21" s="35" t="e">
        <f>LOOKUP(P21,$V$1:$V$7,$W$1:$W$7)</f>
        <v>#N/A</v>
      </c>
      <c r="R21" s="35"/>
      <c r="S21" s="31" t="e">
        <f>$A21</f>
        <v>#N/A</v>
      </c>
      <c r="T21" s="31">
        <v>1</v>
      </c>
      <c r="U21" s="78"/>
      <c r="V21" s="78"/>
      <c r="W21" s="78"/>
      <c r="X21" s="78"/>
      <c r="Y21" s="78"/>
      <c r="Z21" s="78"/>
      <c r="AA21" s="78"/>
      <c r="AB21" s="79"/>
      <c r="AC21" s="79"/>
      <c r="AD21" s="79"/>
      <c r="AF21" s="65">
        <v>10</v>
      </c>
      <c r="AG21" s="36">
        <v>8</v>
      </c>
      <c r="AH21" s="65" t="s">
        <v>80</v>
      </c>
      <c r="AI21" s="35">
        <v>5</v>
      </c>
    </row>
    <row r="22" spans="1:39" s="60" customFormat="1" ht="13.5" customHeight="1" x14ac:dyDescent="0.35">
      <c r="A22" s="35"/>
      <c r="B22" s="35"/>
      <c r="C22" s="66" t="e">
        <f>VLOOKUP(B21,Уч!$A$2:$L$26,5,FALSE)</f>
        <v>#N/A</v>
      </c>
      <c r="D22" s="109" t="e">
        <f>VLOOKUP(B21,Уч!$A$2:$L$26,4,FALSE)</f>
        <v>#N/A</v>
      </c>
      <c r="E22" s="33" t="s">
        <v>97</v>
      </c>
      <c r="F22" s="68" t="e">
        <f>VLOOKUP($B21,'100 м 1'!$C$18:$I$86,6,FALSE)</f>
        <v>#N/A</v>
      </c>
      <c r="G22" s="69" t="e">
        <f>VLOOKUP($B21,'длина 2 '!$C$16:$O$54,12,FALSE)</f>
        <v>#N/A</v>
      </c>
      <c r="H22" s="70"/>
      <c r="I22" s="69"/>
      <c r="J22" s="69"/>
      <c r="K22" s="69" t="e">
        <f>VLOOKUP($B21,'1cб_р'!$C$17:$I$63,6,FALSE)</f>
        <v>#N/A</v>
      </c>
      <c r="L22" s="69"/>
      <c r="M22" s="69"/>
      <c r="N22" s="70"/>
      <c r="O22" s="70"/>
      <c r="P22" s="97"/>
      <c r="Q22" s="80"/>
      <c r="R22" s="63"/>
      <c r="S22" s="31" t="e">
        <f>$A21</f>
        <v>#N/A</v>
      </c>
      <c r="T22" s="31">
        <v>2</v>
      </c>
      <c r="U22" s="78"/>
      <c r="V22" s="78"/>
      <c r="W22" s="78"/>
      <c r="X22" s="78"/>
      <c r="Y22" s="78"/>
      <c r="Z22" s="78"/>
      <c r="AA22" s="78"/>
      <c r="AB22" s="79"/>
      <c r="AC22" s="79"/>
      <c r="AD22" s="79"/>
      <c r="AF22" s="65">
        <v>11</v>
      </c>
      <c r="AG22" s="36">
        <v>7</v>
      </c>
      <c r="AH22" s="65"/>
      <c r="AI22" s="35"/>
    </row>
    <row r="23" spans="1:39" s="60" customFormat="1" ht="13.5" customHeight="1" x14ac:dyDescent="0.35">
      <c r="A23" s="35"/>
      <c r="B23" s="35"/>
      <c r="C23" s="67" t="e">
        <f>VLOOKUP(B21,Уч!$A$2:$L$26,7,FALSE)</f>
        <v>#N/A</v>
      </c>
      <c r="D23" s="109"/>
      <c r="E23" s="33" t="s">
        <v>77</v>
      </c>
      <c r="F23" s="72" t="e">
        <f>VLOOKUP($B21,'100 м 1'!$C$18:$I$86,7,FALSE)</f>
        <v>#N/A</v>
      </c>
      <c r="G23" s="70" t="e">
        <f>VLOOKUP($B21,'длина 2 '!$C$16:$O$54,13,FALSE)</f>
        <v>#N/A</v>
      </c>
      <c r="H23" s="70" t="e">
        <f>VLOOKUP($B21,'ядро 2'!$C$16:$K$60,9,FALSE)</f>
        <v>#N/A</v>
      </c>
      <c r="I23" s="70" t="e">
        <f>VLOOKUP($B21,'высота 2'!$C$16:$AF$57,24,)</f>
        <v>#N/A</v>
      </c>
      <c r="J23" s="70" t="e">
        <f>VLOOKUP($B21,'4_р'!$C$17:$H$73,6,FALSE)</f>
        <v>#N/A</v>
      </c>
      <c r="K23" s="70" t="e">
        <f>VLOOKUP($B21,'1cб_р'!$C$17:$I$63,7,FALSE)</f>
        <v>#N/A</v>
      </c>
      <c r="L23" s="70" t="e">
        <f>VLOOKUP($B21,Дс_р!$C$16:$K$70,9,FALSE)</f>
        <v>#N/A</v>
      </c>
      <c r="M23" s="70" t="e">
        <f>VLOOKUP($B21,Ш_р!$C$15:$AF$69,18,FALSE)</f>
        <v>#N/A</v>
      </c>
      <c r="N23" s="70" t="e">
        <f>VLOOKUP($B21,К_р!$C$15:$K$68,9,FALSE)</f>
        <v>#N/A</v>
      </c>
      <c r="O23" s="70" t="e">
        <f>VLOOKUP($B21,'15_р'!$C$17:$H$86,6,FALSE)</f>
        <v>#N/A</v>
      </c>
      <c r="P23" s="97"/>
      <c r="Q23" s="80"/>
      <c r="R23" s="63"/>
      <c r="S23" s="31" t="e">
        <f>$A21</f>
        <v>#N/A</v>
      </c>
      <c r="T23" s="31">
        <v>3</v>
      </c>
      <c r="U23" s="78"/>
      <c r="V23" s="78"/>
      <c r="W23" s="78"/>
      <c r="X23" s="78"/>
      <c r="Y23" s="78"/>
      <c r="Z23" s="78"/>
      <c r="AA23" s="78"/>
      <c r="AB23" s="79"/>
      <c r="AC23" s="79"/>
      <c r="AD23" s="79"/>
      <c r="AF23" s="65">
        <v>12</v>
      </c>
      <c r="AG23" s="36">
        <v>6</v>
      </c>
      <c r="AH23" s="65"/>
      <c r="AI23" s="35"/>
    </row>
    <row r="24" spans="1:39" s="60" customFormat="1" ht="13.5" customHeight="1" x14ac:dyDescent="0.35">
      <c r="A24" s="35"/>
      <c r="B24" s="35"/>
      <c r="C24" s="66" t="e">
        <f>VLOOKUP(B21,Уч!$A$2:$L$26,11,FALSE)</f>
        <v>#N/A</v>
      </c>
      <c r="D24" s="109"/>
      <c r="E24" s="33" t="s">
        <v>98</v>
      </c>
      <c r="F24" s="72" t="e">
        <f>F23</f>
        <v>#N/A</v>
      </c>
      <c r="G24" s="70" t="e">
        <f>F24+G23</f>
        <v>#N/A</v>
      </c>
      <c r="H24" s="70" t="e">
        <f>G24+H23</f>
        <v>#N/A</v>
      </c>
      <c r="I24" s="70" t="e">
        <f>H24+I23</f>
        <v>#N/A</v>
      </c>
      <c r="J24" s="70" t="e">
        <f>SUM($F23:J23)</f>
        <v>#N/A</v>
      </c>
      <c r="K24" s="70" t="e">
        <f>SUM($F23:$K23)</f>
        <v>#N/A</v>
      </c>
      <c r="L24" s="70" t="e">
        <f>K24+L23</f>
        <v>#N/A</v>
      </c>
      <c r="M24" s="70" t="e">
        <f>L24+M23</f>
        <v>#N/A</v>
      </c>
      <c r="N24" s="70" t="e">
        <f>SUM($F23:$N23)</f>
        <v>#N/A</v>
      </c>
      <c r="O24" s="70" t="e">
        <f>SUM($F23:$O23)</f>
        <v>#N/A</v>
      </c>
      <c r="P24" s="97"/>
      <c r="Q24" s="80"/>
      <c r="R24" s="63"/>
      <c r="S24" s="31" t="e">
        <f>$A21</f>
        <v>#N/A</v>
      </c>
      <c r="T24" s="31">
        <v>4</v>
      </c>
      <c r="U24" s="63" t="e">
        <f t="shared" ref="U24:AD24" si="1">F24</f>
        <v>#N/A</v>
      </c>
      <c r="V24" s="63" t="e">
        <f t="shared" si="1"/>
        <v>#N/A</v>
      </c>
      <c r="W24" s="63" t="e">
        <f t="shared" si="1"/>
        <v>#N/A</v>
      </c>
      <c r="X24" s="63" t="e">
        <f t="shared" si="1"/>
        <v>#N/A</v>
      </c>
      <c r="Y24" s="63" t="e">
        <f t="shared" si="1"/>
        <v>#N/A</v>
      </c>
      <c r="Z24" s="63" t="e">
        <f t="shared" si="1"/>
        <v>#N/A</v>
      </c>
      <c r="AA24" s="63" t="e">
        <f t="shared" si="1"/>
        <v>#N/A</v>
      </c>
      <c r="AB24" s="63" t="e">
        <f t="shared" si="1"/>
        <v>#N/A</v>
      </c>
      <c r="AC24" s="63" t="e">
        <f t="shared" si="1"/>
        <v>#N/A</v>
      </c>
      <c r="AD24" s="63" t="e">
        <f t="shared" si="1"/>
        <v>#N/A</v>
      </c>
      <c r="AF24" s="65">
        <v>13</v>
      </c>
      <c r="AG24" s="36">
        <v>5</v>
      </c>
      <c r="AH24" s="82"/>
      <c r="AI24" s="31"/>
    </row>
    <row r="25" spans="1:39" s="60" customFormat="1" ht="13.5" customHeight="1" thickBot="1" x14ac:dyDescent="0.4">
      <c r="A25" s="73"/>
      <c r="B25" s="73"/>
      <c r="C25" s="74" t="e">
        <f>VLOOKUP(B21,Уч!$A$2:$L$26,12,FALSE)</f>
        <v>#N/A</v>
      </c>
      <c r="D25" s="110"/>
      <c r="E25" s="43" t="s">
        <v>37</v>
      </c>
      <c r="F25" s="75" t="e">
        <f>RANK(F24,$U$19:$U$165,0)</f>
        <v>#N/A</v>
      </c>
      <c r="G25" s="76" t="e">
        <f>RANK(G24,$V$19:$V$165,0)</f>
        <v>#N/A</v>
      </c>
      <c r="H25" s="76" t="e">
        <f>RANK(H24,$W$19:$W$165,0)</f>
        <v>#N/A</v>
      </c>
      <c r="I25" s="76" t="e">
        <f>RANK(I24,$X$19:$X$165,0)</f>
        <v>#N/A</v>
      </c>
      <c r="J25" s="76" t="e">
        <f>RANK(J24,$Y$19:$Y$165,0)</f>
        <v>#N/A</v>
      </c>
      <c r="K25" s="76" t="e">
        <f>RANK(K24,$Z$19:$Z$165,0)</f>
        <v>#N/A</v>
      </c>
      <c r="L25" s="76" t="e">
        <f>RANK(L24,$AA$19:$AA$165,0)</f>
        <v>#N/A</v>
      </c>
      <c r="M25" s="76" t="e">
        <f>RANK(M24,$AB$19:$AB$155,0)</f>
        <v>#N/A</v>
      </c>
      <c r="N25" s="76" t="e">
        <f>RANK(N24,$AC$19:$AC$165,0)</f>
        <v>#N/A</v>
      </c>
      <c r="O25" s="76" t="e">
        <f>RANK(O24,$AD$19:$AD$165,0)</f>
        <v>#N/A</v>
      </c>
      <c r="P25" s="98"/>
      <c r="Q25" s="81"/>
      <c r="R25" s="77"/>
      <c r="S25" s="31" t="e">
        <f>$A21</f>
        <v>#N/A</v>
      </c>
      <c r="T25" s="31">
        <v>5</v>
      </c>
      <c r="U25" s="78"/>
      <c r="V25" s="78"/>
      <c r="W25" s="78"/>
      <c r="X25" s="78"/>
      <c r="Y25" s="78"/>
      <c r="Z25" s="78"/>
      <c r="AA25" s="78"/>
      <c r="AB25" s="79"/>
      <c r="AC25" s="79"/>
      <c r="AD25" s="79"/>
      <c r="AF25" s="65">
        <v>14</v>
      </c>
      <c r="AG25" s="36">
        <v>4</v>
      </c>
      <c r="AH25" s="82"/>
      <c r="AI25" s="31"/>
    </row>
    <row r="26" spans="1:39" s="60" customFormat="1" ht="13.5" customHeight="1" thickTop="1" x14ac:dyDescent="0.35">
      <c r="A26" s="35" t="e">
        <f>RANK(P26,$P$16:$P$165,0)</f>
        <v>#N/A</v>
      </c>
      <c r="B26" s="35">
        <v>59</v>
      </c>
      <c r="C26" s="60" t="e">
        <f>VLOOKUP(B26,Уч!$A$2:$L$26,2,FALSE)</f>
        <v>#N/A</v>
      </c>
      <c r="D26" s="107" t="e">
        <f>VLOOKUP(B26,Уч!$A$2:$L$26,3,FALSE)</f>
        <v>#N/A</v>
      </c>
      <c r="E26" s="33" t="s">
        <v>28</v>
      </c>
      <c r="F26" s="61" t="e">
        <f>VLOOKUP($B26,'100 м 1'!$C$18:$I$86,5,FALSE)</f>
        <v>#N/A</v>
      </c>
      <c r="G26" s="62" t="e">
        <f>VLOOKUP($B26,'длина 2 '!$C$16:$O$54,11,FALSE)</f>
        <v>#N/A</v>
      </c>
      <c r="H26" s="62" t="e">
        <f>VLOOKUP($B26,'ядро 2'!$C$16:$K$60,8,FALSE)</f>
        <v>#N/A</v>
      </c>
      <c r="I26" s="62" t="e">
        <f>VLOOKUP($B26,'высота 2'!$C$16:$AF$57,23,FALSE)</f>
        <v>#N/A</v>
      </c>
      <c r="J26" s="62" t="e">
        <f>VLOOKUP($B26,'4_р'!$C$17:$H$73,5,FALSE)</f>
        <v>#N/A</v>
      </c>
      <c r="K26" s="62" t="e">
        <f>VLOOKUP($B26,'1cб_р'!$C$17:$I$63,5,FALSE)</f>
        <v>#N/A</v>
      </c>
      <c r="L26" s="62" t="e">
        <f>VLOOKUP($B26,Дс_р!$C$16:$K$70,8,FALSE)</f>
        <v>#N/A</v>
      </c>
      <c r="M26" s="62" t="e">
        <f>VLOOKUP($B26,Ш_р!$C$15:$AF$69,17,FALSE)</f>
        <v>#N/A</v>
      </c>
      <c r="N26" s="62" t="e">
        <f>VLOOKUP($B26,К_р!$C$15:$K$68,8,FALSE)</f>
        <v>#N/A</v>
      </c>
      <c r="O26" s="70" t="e">
        <f>VLOOKUP($B26,'15_р'!$C$17:$H$86,5,FALSE)</f>
        <v>#N/A</v>
      </c>
      <c r="P26" s="97" t="e">
        <f>SUM(F28:O28)</f>
        <v>#N/A</v>
      </c>
      <c r="Q26" s="35" t="e">
        <f>LOOKUP(P26,$V$1:$V$7,$W$1:$W$7)</f>
        <v>#N/A</v>
      </c>
      <c r="R26" s="35"/>
      <c r="S26" s="31" t="e">
        <f>$A26</f>
        <v>#N/A</v>
      </c>
      <c r="T26" s="31">
        <v>1</v>
      </c>
      <c r="U26" s="83"/>
      <c r="V26" s="78"/>
      <c r="W26" s="78"/>
      <c r="X26" s="78"/>
      <c r="Y26" s="78"/>
      <c r="Z26" s="78"/>
      <c r="AA26" s="78"/>
      <c r="AB26" s="79"/>
      <c r="AC26" s="79"/>
      <c r="AD26" s="79"/>
      <c r="AF26" s="35"/>
      <c r="AG26" s="35"/>
      <c r="AI26" s="35"/>
    </row>
    <row r="27" spans="1:39" s="60" customFormat="1" ht="13.5" customHeight="1" x14ac:dyDescent="0.35">
      <c r="A27" s="35"/>
      <c r="B27" s="35"/>
      <c r="C27" s="66" t="e">
        <f>VLOOKUP(B26,Уч!$A$2:$L$26,5,FALSE)</f>
        <v>#N/A</v>
      </c>
      <c r="D27" s="107" t="e">
        <f>VLOOKUP(B26,Уч!$A$2:$L$26,4,FALSE)</f>
        <v>#N/A</v>
      </c>
      <c r="E27" s="33" t="s">
        <v>97</v>
      </c>
      <c r="F27" s="68" t="e">
        <f>VLOOKUP($B26,'100 м 1'!$C$18:$I$86,6,FALSE)</f>
        <v>#N/A</v>
      </c>
      <c r="G27" s="69" t="e">
        <f>VLOOKUP($B26,'длина 2 '!$C$16:$O$54,12,FALSE)</f>
        <v>#N/A</v>
      </c>
      <c r="H27" s="70"/>
      <c r="I27" s="69"/>
      <c r="J27" s="69"/>
      <c r="K27" s="69" t="e">
        <f>VLOOKUP($B26,'1cб_р'!$C$17:$I$63,6,FALSE)</f>
        <v>#N/A</v>
      </c>
      <c r="L27" s="69"/>
      <c r="M27" s="69"/>
      <c r="N27" s="70"/>
      <c r="O27" s="70"/>
      <c r="P27" s="97"/>
      <c r="Q27" s="80"/>
      <c r="R27" s="63"/>
      <c r="S27" s="31" t="e">
        <f>$A26</f>
        <v>#N/A</v>
      </c>
      <c r="T27" s="31">
        <v>2</v>
      </c>
      <c r="U27" s="83"/>
      <c r="V27" s="78"/>
      <c r="W27" s="78"/>
      <c r="X27" s="78"/>
      <c r="Y27" s="78"/>
      <c r="Z27" s="78"/>
      <c r="AA27" s="78"/>
      <c r="AB27" s="79"/>
      <c r="AC27" s="79"/>
      <c r="AD27" s="79"/>
      <c r="AF27" s="35"/>
      <c r="AG27" s="35"/>
      <c r="AI27" s="35"/>
    </row>
    <row r="28" spans="1:39" s="60" customFormat="1" ht="13.5" customHeight="1" x14ac:dyDescent="0.35">
      <c r="A28" s="35"/>
      <c r="B28" s="35"/>
      <c r="C28" s="67" t="e">
        <f>VLOOKUP(B26,Уч!$A$2:$L$26,7,FALSE)</f>
        <v>#N/A</v>
      </c>
      <c r="D28" s="107"/>
      <c r="E28" s="33" t="s">
        <v>77</v>
      </c>
      <c r="F28" s="72" t="e">
        <f>VLOOKUP($B26,'100 м 1'!$C$18:$I$86,7,FALSE)</f>
        <v>#N/A</v>
      </c>
      <c r="G28" s="70" t="e">
        <f>VLOOKUP($B26,'длина 2 '!$C$16:$O$54,13,FALSE)</f>
        <v>#N/A</v>
      </c>
      <c r="H28" s="70" t="e">
        <f>VLOOKUP($B26,'ядро 2'!$C$16:$K$60,9,FALSE)</f>
        <v>#N/A</v>
      </c>
      <c r="I28" s="70" t="e">
        <f>VLOOKUP($B26,'высота 2'!$C$16:$AF$57,24,)</f>
        <v>#N/A</v>
      </c>
      <c r="J28" s="70" t="e">
        <f>VLOOKUP($B26,'4_р'!$C$17:$H$73,6,FALSE)</f>
        <v>#N/A</v>
      </c>
      <c r="K28" s="70" t="e">
        <f>VLOOKUP($B26,'1cб_р'!$C$17:$I$63,7,FALSE)</f>
        <v>#N/A</v>
      </c>
      <c r="L28" s="70" t="e">
        <f>VLOOKUP($B26,Дс_р!$C$16:$K$70,9,FALSE)</f>
        <v>#N/A</v>
      </c>
      <c r="M28" s="70" t="e">
        <f>VLOOKUP($B26,Ш_р!$C$15:$AF$69,18,FALSE)</f>
        <v>#N/A</v>
      </c>
      <c r="N28" s="70" t="e">
        <f>VLOOKUP($B26,К_р!$C$15:$K$68,9,FALSE)</f>
        <v>#N/A</v>
      </c>
      <c r="O28" s="70" t="e">
        <f>VLOOKUP($B26,'15_р'!$C$17:$H$86,6,FALSE)</f>
        <v>#N/A</v>
      </c>
      <c r="P28" s="97"/>
      <c r="Q28" s="63"/>
      <c r="R28" s="63"/>
      <c r="S28" s="31" t="e">
        <f>$A26</f>
        <v>#N/A</v>
      </c>
      <c r="T28" s="31">
        <v>3</v>
      </c>
      <c r="U28" s="83"/>
      <c r="V28" s="78"/>
      <c r="W28" s="78"/>
      <c r="X28" s="78"/>
      <c r="Y28" s="78"/>
      <c r="Z28" s="78"/>
      <c r="AA28" s="78"/>
      <c r="AB28" s="79"/>
      <c r="AC28" s="79"/>
      <c r="AD28" s="79"/>
      <c r="AF28" s="35"/>
      <c r="AG28" s="35"/>
      <c r="AI28" s="35"/>
    </row>
    <row r="29" spans="1:39" s="60" customFormat="1" ht="13.5" customHeight="1" x14ac:dyDescent="0.35">
      <c r="A29" s="35"/>
      <c r="B29" s="35"/>
      <c r="C29" s="66" t="e">
        <f>VLOOKUP(B26,Уч!$A$2:$L$26,11,FALSE)</f>
        <v>#N/A</v>
      </c>
      <c r="D29" s="107"/>
      <c r="E29" s="33" t="s">
        <v>98</v>
      </c>
      <c r="F29" s="72" t="e">
        <f>F28</f>
        <v>#N/A</v>
      </c>
      <c r="G29" s="70" t="e">
        <f>F29+G28</f>
        <v>#N/A</v>
      </c>
      <c r="H29" s="70" t="e">
        <f>G29+H28</f>
        <v>#N/A</v>
      </c>
      <c r="I29" s="70" t="e">
        <f>H29+I28</f>
        <v>#N/A</v>
      </c>
      <c r="J29" s="70" t="e">
        <f>SUM($F28:J28)</f>
        <v>#N/A</v>
      </c>
      <c r="K29" s="70" t="e">
        <f>SUM($F28:$K28)</f>
        <v>#N/A</v>
      </c>
      <c r="L29" s="70" t="e">
        <f>K29+L28</f>
        <v>#N/A</v>
      </c>
      <c r="M29" s="70" t="e">
        <f>L29+M28</f>
        <v>#N/A</v>
      </c>
      <c r="N29" s="70" t="e">
        <f>SUM($F28:$N28)</f>
        <v>#N/A</v>
      </c>
      <c r="O29" s="70" t="e">
        <f>SUM($F28:$O28)</f>
        <v>#N/A</v>
      </c>
      <c r="P29" s="97"/>
      <c r="Q29" s="63"/>
      <c r="R29" s="63"/>
      <c r="S29" s="31" t="e">
        <f>$A26</f>
        <v>#N/A</v>
      </c>
      <c r="T29" s="31">
        <v>4</v>
      </c>
      <c r="U29" s="63" t="e">
        <f t="shared" ref="U29:AD29" si="2">F29</f>
        <v>#N/A</v>
      </c>
      <c r="V29" s="63" t="e">
        <f t="shared" si="2"/>
        <v>#N/A</v>
      </c>
      <c r="W29" s="63" t="e">
        <f t="shared" si="2"/>
        <v>#N/A</v>
      </c>
      <c r="X29" s="63" t="e">
        <f t="shared" si="2"/>
        <v>#N/A</v>
      </c>
      <c r="Y29" s="63" t="e">
        <f t="shared" si="2"/>
        <v>#N/A</v>
      </c>
      <c r="Z29" s="63" t="e">
        <f t="shared" si="2"/>
        <v>#N/A</v>
      </c>
      <c r="AA29" s="63" t="e">
        <f t="shared" si="2"/>
        <v>#N/A</v>
      </c>
      <c r="AB29" s="63" t="e">
        <f t="shared" si="2"/>
        <v>#N/A</v>
      </c>
      <c r="AC29" s="63" t="e">
        <f t="shared" si="2"/>
        <v>#N/A</v>
      </c>
      <c r="AD29" s="63" t="e">
        <f t="shared" si="2"/>
        <v>#N/A</v>
      </c>
      <c r="AF29" s="35"/>
      <c r="AG29" s="35"/>
      <c r="AI29" s="35"/>
    </row>
    <row r="30" spans="1:39" s="60" customFormat="1" ht="13.5" customHeight="1" thickBot="1" x14ac:dyDescent="0.4">
      <c r="A30" s="73"/>
      <c r="B30" s="73"/>
      <c r="C30" s="74" t="e">
        <f>VLOOKUP(B26,Уч!$A$2:$L$26,12,FALSE)</f>
        <v>#N/A</v>
      </c>
      <c r="D30" s="108"/>
      <c r="E30" s="43" t="s">
        <v>37</v>
      </c>
      <c r="F30" s="75" t="e">
        <f>RANK(F29,$U$19:$U$165,0)</f>
        <v>#N/A</v>
      </c>
      <c r="G30" s="76" t="e">
        <f>RANK(G29,$V$19:$V$165,0)</f>
        <v>#N/A</v>
      </c>
      <c r="H30" s="76" t="e">
        <f>RANK(H29,$W$19:$W$165,0)</f>
        <v>#N/A</v>
      </c>
      <c r="I30" s="76" t="e">
        <f>RANK(I29,$X$19:$X$165,0)</f>
        <v>#N/A</v>
      </c>
      <c r="J30" s="76" t="e">
        <f>RANK(J29,$Y$19:$Y$165,0)</f>
        <v>#N/A</v>
      </c>
      <c r="K30" s="76" t="e">
        <f>RANK(K29,$Z$19:$Z$165,0)</f>
        <v>#N/A</v>
      </c>
      <c r="L30" s="76" t="e">
        <f>RANK(L29,$AA$19:$AA$165,0)</f>
        <v>#N/A</v>
      </c>
      <c r="M30" s="76" t="e">
        <f>RANK(M29,$AB$19:$AB$155,0)</f>
        <v>#N/A</v>
      </c>
      <c r="N30" s="76" t="e">
        <f>RANK(N29,$AC$19:$AC$165,0)</f>
        <v>#N/A</v>
      </c>
      <c r="O30" s="76" t="e">
        <f>RANK(O29,$AD$19:$AD$165,0)</f>
        <v>#N/A</v>
      </c>
      <c r="P30" s="98"/>
      <c r="Q30" s="77"/>
      <c r="R30" s="77"/>
      <c r="S30" s="31" t="e">
        <f>$A26</f>
        <v>#N/A</v>
      </c>
      <c r="T30" s="31">
        <v>5</v>
      </c>
      <c r="U30" s="83"/>
      <c r="V30" s="78"/>
      <c r="W30" s="78"/>
      <c r="X30" s="78"/>
      <c r="Y30" s="78"/>
      <c r="Z30" s="78"/>
      <c r="AA30" s="78"/>
      <c r="AB30" s="79"/>
      <c r="AC30" s="79"/>
      <c r="AD30" s="79"/>
      <c r="AF30" s="35"/>
      <c r="AG30" s="35"/>
      <c r="AI30" s="35"/>
    </row>
    <row r="31" spans="1:39" s="60" customFormat="1" ht="13.5" customHeight="1" thickTop="1" x14ac:dyDescent="0.35">
      <c r="A31" s="35" t="e">
        <f>RANK(P31,$P$16:$P$165,0)</f>
        <v>#N/A</v>
      </c>
      <c r="B31" s="35">
        <v>37</v>
      </c>
      <c r="C31" s="60" t="str">
        <f>VLOOKUP(B31,Уч!$A$2:$L$26,2,FALSE)</f>
        <v>Гончарук Артём</v>
      </c>
      <c r="D31" s="107" t="str">
        <f>VLOOKUP(B31,Уч!$A$2:$L$26,3,FALSE)</f>
        <v>07.01.1992</v>
      </c>
      <c r="E31" s="33" t="s">
        <v>28</v>
      </c>
      <c r="F31" s="61">
        <f>VLOOKUP($B31,'100 м 1'!$C$18:$I$86,5,FALSE)</f>
        <v>11.13</v>
      </c>
      <c r="G31" s="62" t="e">
        <f>VLOOKUP($B31,'длина 2 '!$C$16:$O$54,11,FALSE)</f>
        <v>#N/A</v>
      </c>
      <c r="H31" s="62" t="e">
        <f>VLOOKUP($B31,'ядро 2'!$C$16:$K$60,8,FALSE)</f>
        <v>#N/A</v>
      </c>
      <c r="I31" s="62" t="e">
        <f>VLOOKUP($B31,'высота 2'!$C$16:$AF$57,23,FALSE)</f>
        <v>#N/A</v>
      </c>
      <c r="J31" s="62" t="e">
        <f>VLOOKUP($B31,'4_р'!$C$17:$H$73,5,FALSE)</f>
        <v>#N/A</v>
      </c>
      <c r="K31" s="62" t="e">
        <f>VLOOKUP($B31,'1cб_р'!$C$17:$I$63,5,FALSE)</f>
        <v>#N/A</v>
      </c>
      <c r="L31" s="62" t="e">
        <f>VLOOKUP($B31,Дс_р!$C$16:$K$70,8,FALSE)</f>
        <v>#N/A</v>
      </c>
      <c r="M31" s="62" t="e">
        <f>VLOOKUP($B31,Ш_р!$C$15:$AF$69,17,FALSE)</f>
        <v>#N/A</v>
      </c>
      <c r="N31" s="62" t="e">
        <f>VLOOKUP($B31,К_р!$C$15:$K$68,8,FALSE)</f>
        <v>#N/A</v>
      </c>
      <c r="O31" s="70" t="e">
        <f>VLOOKUP($B31,'15_р'!$C$17:$H$86,5,FALSE)</f>
        <v>#N/A</v>
      </c>
      <c r="P31" s="97" t="e">
        <f>SUM(F33:O33)</f>
        <v>#N/A</v>
      </c>
      <c r="Q31" s="35" t="e">
        <f>LOOKUP(P31,$V$1:$V$7,$W$1:$W$7)</f>
        <v>#N/A</v>
      </c>
      <c r="R31" s="35"/>
      <c r="S31" s="31" t="e">
        <f>$A31</f>
        <v>#N/A</v>
      </c>
      <c r="T31" s="31">
        <v>1</v>
      </c>
      <c r="U31" s="83"/>
      <c r="V31" s="78"/>
      <c r="W31" s="78"/>
      <c r="X31" s="78"/>
      <c r="Y31" s="78"/>
      <c r="Z31" s="78"/>
      <c r="AA31" s="78"/>
      <c r="AB31" s="79"/>
      <c r="AC31" s="79"/>
      <c r="AD31" s="79"/>
      <c r="AF31" s="35"/>
      <c r="AG31" s="35"/>
      <c r="AI31" s="35"/>
    </row>
    <row r="32" spans="1:39" s="60" customFormat="1" ht="13.5" customHeight="1" x14ac:dyDescent="0.35">
      <c r="A32" s="35"/>
      <c r="B32" s="35"/>
      <c r="C32" s="66" t="str">
        <f>VLOOKUP(B31,Уч!$A$2:$L$26,5,FALSE)</f>
        <v xml:space="preserve">Ульяновская область  </v>
      </c>
      <c r="D32" s="109" t="str">
        <f>VLOOKUP(B31,Уч!$A$2:$L$26,4,FALSE)</f>
        <v>МС</v>
      </c>
      <c r="E32" s="33" t="s">
        <v>97</v>
      </c>
      <c r="F32" s="68">
        <f>VLOOKUP($B31,'100 м 1'!$C$18:$I$86,6,FALSE)</f>
        <v>0</v>
      </c>
      <c r="G32" s="69" t="e">
        <f>VLOOKUP($B31,'длина 2 '!$C$16:$O$54,12,FALSE)</f>
        <v>#N/A</v>
      </c>
      <c r="H32" s="70"/>
      <c r="I32" s="69"/>
      <c r="J32" s="69"/>
      <c r="K32" s="69" t="e">
        <f>VLOOKUP($B31,'1cб_р'!$C$17:$I$63,6,FALSE)</f>
        <v>#N/A</v>
      </c>
      <c r="L32" s="69"/>
      <c r="M32" s="69"/>
      <c r="N32" s="70"/>
      <c r="O32" s="70"/>
      <c r="P32" s="97"/>
      <c r="Q32" s="36"/>
      <c r="R32" s="63"/>
      <c r="S32" s="31" t="e">
        <f>$A31</f>
        <v>#N/A</v>
      </c>
      <c r="T32" s="31">
        <v>2</v>
      </c>
      <c r="U32" s="83"/>
      <c r="V32" s="78"/>
      <c r="W32" s="78"/>
      <c r="X32" s="78"/>
      <c r="Y32" s="78"/>
      <c r="Z32" s="78"/>
      <c r="AA32" s="78"/>
      <c r="AB32" s="79"/>
      <c r="AC32" s="79"/>
      <c r="AD32" s="79"/>
      <c r="AF32" s="35"/>
      <c r="AG32" s="35"/>
      <c r="AI32" s="35"/>
    </row>
    <row r="33" spans="1:35" s="60" customFormat="1" ht="13.5" customHeight="1" x14ac:dyDescent="0.35">
      <c r="A33" s="35"/>
      <c r="B33" s="35"/>
      <c r="C33" s="67" t="str">
        <f>VLOOKUP(B31,Уч!$A$2:$L$26,7,FALSE)</f>
        <v>МБУ ДО ДЮСШ №6</v>
      </c>
      <c r="D33" s="109"/>
      <c r="E33" s="33" t="s">
        <v>77</v>
      </c>
      <c r="F33" s="72">
        <f>VLOOKUP($B31,'100 м 1'!$C$18:$I$86,7,FALSE)</f>
        <v>832</v>
      </c>
      <c r="G33" s="70" t="e">
        <f>VLOOKUP($B31,'длина 2 '!$C$16:$O$54,13,FALSE)</f>
        <v>#N/A</v>
      </c>
      <c r="H33" s="70" t="e">
        <f>VLOOKUP($B31,'ядро 2'!$C$16:$K$60,9,FALSE)</f>
        <v>#N/A</v>
      </c>
      <c r="I33" s="70" t="e">
        <f>VLOOKUP($B31,'высота 2'!$C$16:$AF$57,24,)</f>
        <v>#N/A</v>
      </c>
      <c r="J33" s="70" t="e">
        <f>VLOOKUP($B31,'4_р'!$C$17:$H$73,6,FALSE)</f>
        <v>#N/A</v>
      </c>
      <c r="K33" s="70" t="e">
        <f>VLOOKUP($B31,'1cб_р'!$C$17:$I$63,7,FALSE)</f>
        <v>#N/A</v>
      </c>
      <c r="L33" s="70" t="e">
        <f>VLOOKUP($B31,Дс_р!$C$16:$K$70,9,FALSE)</f>
        <v>#N/A</v>
      </c>
      <c r="M33" s="70" t="e">
        <f>VLOOKUP($B31,Ш_р!$C$15:$AF$69,18,FALSE)</f>
        <v>#N/A</v>
      </c>
      <c r="N33" s="70" t="e">
        <f>VLOOKUP($B31,К_р!$C$15:$K$68,9,FALSE)</f>
        <v>#N/A</v>
      </c>
      <c r="O33" s="70" t="e">
        <f>VLOOKUP($B31,'15_р'!$C$17:$H$86,6,FALSE)</f>
        <v>#N/A</v>
      </c>
      <c r="P33" s="97"/>
      <c r="Q33" s="36"/>
      <c r="R33" s="63"/>
      <c r="S33" s="31" t="e">
        <f>$A31</f>
        <v>#N/A</v>
      </c>
      <c r="T33" s="31">
        <v>3</v>
      </c>
      <c r="U33" s="83"/>
      <c r="V33" s="78"/>
      <c r="W33" s="78"/>
      <c r="X33" s="78"/>
      <c r="Y33" s="78"/>
      <c r="Z33" s="78"/>
      <c r="AA33" s="78"/>
      <c r="AB33" s="79"/>
      <c r="AC33" s="79"/>
      <c r="AD33" s="79"/>
      <c r="AF33" s="35"/>
      <c r="AG33" s="35"/>
      <c r="AI33" s="35"/>
    </row>
    <row r="34" spans="1:35" s="60" customFormat="1" ht="13.5" customHeight="1" x14ac:dyDescent="0.35">
      <c r="A34" s="35"/>
      <c r="B34" s="35"/>
      <c r="C34" s="66" t="str">
        <f>VLOOKUP(B31,Уч!$A$2:$L$26,11,FALSE)</f>
        <v>Жульков Ю.А.</v>
      </c>
      <c r="D34" s="109"/>
      <c r="E34" s="33" t="s">
        <v>98</v>
      </c>
      <c r="F34" s="72">
        <f>F33</f>
        <v>832</v>
      </c>
      <c r="G34" s="70" t="e">
        <f>F34+G33</f>
        <v>#N/A</v>
      </c>
      <c r="H34" s="70" t="e">
        <f>G34+H33</f>
        <v>#N/A</v>
      </c>
      <c r="I34" s="70" t="e">
        <f>H34+I33</f>
        <v>#N/A</v>
      </c>
      <c r="J34" s="70" t="e">
        <f>SUM($F33:J33)</f>
        <v>#N/A</v>
      </c>
      <c r="K34" s="70" t="e">
        <f>SUM($F33:$K33)</f>
        <v>#N/A</v>
      </c>
      <c r="L34" s="70" t="e">
        <f>K34+L33</f>
        <v>#N/A</v>
      </c>
      <c r="M34" s="70" t="e">
        <f>L34+M33</f>
        <v>#N/A</v>
      </c>
      <c r="N34" s="70" t="e">
        <f>SUM($F33:$N33)</f>
        <v>#N/A</v>
      </c>
      <c r="O34" s="70" t="e">
        <f>SUM($F33:$O33)</f>
        <v>#N/A</v>
      </c>
      <c r="P34" s="97"/>
      <c r="Q34" s="36"/>
      <c r="R34" s="63"/>
      <c r="S34" s="31" t="e">
        <f>$A31</f>
        <v>#N/A</v>
      </c>
      <c r="T34" s="31">
        <v>4</v>
      </c>
      <c r="U34" s="63">
        <f t="shared" ref="U34:AD34" si="3">F34</f>
        <v>832</v>
      </c>
      <c r="V34" s="63" t="e">
        <f t="shared" si="3"/>
        <v>#N/A</v>
      </c>
      <c r="W34" s="63" t="e">
        <f t="shared" si="3"/>
        <v>#N/A</v>
      </c>
      <c r="X34" s="63" t="e">
        <f t="shared" si="3"/>
        <v>#N/A</v>
      </c>
      <c r="Y34" s="63" t="e">
        <f t="shared" si="3"/>
        <v>#N/A</v>
      </c>
      <c r="Z34" s="63" t="e">
        <f t="shared" si="3"/>
        <v>#N/A</v>
      </c>
      <c r="AA34" s="63" t="e">
        <f t="shared" si="3"/>
        <v>#N/A</v>
      </c>
      <c r="AB34" s="63" t="e">
        <f t="shared" si="3"/>
        <v>#N/A</v>
      </c>
      <c r="AC34" s="63" t="e">
        <f t="shared" si="3"/>
        <v>#N/A</v>
      </c>
      <c r="AD34" s="63" t="e">
        <f t="shared" si="3"/>
        <v>#N/A</v>
      </c>
      <c r="AF34" s="35"/>
      <c r="AG34" s="35"/>
      <c r="AI34" s="35"/>
    </row>
    <row r="35" spans="1:35" s="60" customFormat="1" ht="13.5" customHeight="1" thickBot="1" x14ac:dyDescent="0.4">
      <c r="A35" s="73"/>
      <c r="B35" s="73"/>
      <c r="C35" s="74">
        <f>VLOOKUP(B31,Уч!$A$2:$L$26,12,FALSE)</f>
        <v>0</v>
      </c>
      <c r="D35" s="110"/>
      <c r="E35" s="43" t="s">
        <v>37</v>
      </c>
      <c r="F35" s="75" t="e">
        <f>RANK(F34,$U$19:$U$165,0)</f>
        <v>#N/A</v>
      </c>
      <c r="G35" s="76" t="e">
        <f>RANK(G34,$V$19:$V$165,0)</f>
        <v>#N/A</v>
      </c>
      <c r="H35" s="76" t="e">
        <f>RANK(H34,$W$19:$W$165,0)</f>
        <v>#N/A</v>
      </c>
      <c r="I35" s="76" t="e">
        <f>RANK(I34,$X$19:$X$165,0)</f>
        <v>#N/A</v>
      </c>
      <c r="J35" s="76" t="e">
        <f>RANK(J34,$Y$19:$Y$165,0)</f>
        <v>#N/A</v>
      </c>
      <c r="K35" s="76" t="e">
        <f>RANK(K34,$Z$19:$Z$165,0)</f>
        <v>#N/A</v>
      </c>
      <c r="L35" s="76" t="e">
        <f>RANK(L34,$AA$19:$AA$165,0)</f>
        <v>#N/A</v>
      </c>
      <c r="M35" s="76" t="e">
        <f>RANK(M34,$AB$19:$AB$155,0)</f>
        <v>#N/A</v>
      </c>
      <c r="N35" s="76" t="e">
        <f>RANK(N34,$AC$19:$AC$165,0)</f>
        <v>#N/A</v>
      </c>
      <c r="O35" s="76" t="e">
        <f>RANK(O34,$AD$19:$AD$165,0)</f>
        <v>#N/A</v>
      </c>
      <c r="P35" s="98"/>
      <c r="Q35" s="50"/>
      <c r="R35" s="77"/>
      <c r="S35" s="31" t="e">
        <f>$A31</f>
        <v>#N/A</v>
      </c>
      <c r="T35" s="31">
        <v>5</v>
      </c>
      <c r="U35" s="83"/>
      <c r="V35" s="78"/>
      <c r="W35" s="78"/>
      <c r="X35" s="78"/>
      <c r="Y35" s="78"/>
      <c r="Z35" s="78"/>
      <c r="AA35" s="78"/>
      <c r="AB35" s="79"/>
      <c r="AC35" s="79"/>
      <c r="AD35" s="79"/>
      <c r="AF35" s="35"/>
      <c r="AG35" s="35"/>
      <c r="AI35" s="35"/>
    </row>
    <row r="36" spans="1:35" s="60" customFormat="1" ht="13.5" customHeight="1" thickTop="1" x14ac:dyDescent="0.35">
      <c r="A36" s="35" t="e">
        <f>RANK(P36,$P$16:$P$165,0)</f>
        <v>#N/A</v>
      </c>
      <c r="B36" s="35">
        <v>18</v>
      </c>
      <c r="C36" s="60" t="e">
        <f>VLOOKUP(B36,Уч!$A$2:$L$26,2,FALSE)</f>
        <v>#N/A</v>
      </c>
      <c r="D36" s="107" t="e">
        <f>VLOOKUP(B36,Уч!$A$2:$L$26,3,FALSE)</f>
        <v>#N/A</v>
      </c>
      <c r="E36" s="33" t="s">
        <v>28</v>
      </c>
      <c r="F36" s="61" t="e">
        <f>VLOOKUP($B36,'100 м 1'!$C$18:$I$86,5,FALSE)</f>
        <v>#N/A</v>
      </c>
      <c r="G36" s="62" t="e">
        <f>VLOOKUP($B36,'длина 2 '!$C$16:$O$54,11,FALSE)</f>
        <v>#N/A</v>
      </c>
      <c r="H36" s="62" t="e">
        <f>VLOOKUP($B36,'ядро 2'!$C$16:$K$60,8,FALSE)</f>
        <v>#N/A</v>
      </c>
      <c r="I36" s="62" t="e">
        <f>VLOOKUP($B36,'высота 2'!$C$16:$AF$57,23,FALSE)</f>
        <v>#N/A</v>
      </c>
      <c r="J36" s="62" t="e">
        <f>VLOOKUP($B36,'4_р'!$C$17:$H$73,5,FALSE)</f>
        <v>#N/A</v>
      </c>
      <c r="K36" s="62" t="e">
        <f>VLOOKUP($B36,'1cб_р'!$C$17:$I$63,5,FALSE)</f>
        <v>#N/A</v>
      </c>
      <c r="L36" s="62" t="e">
        <f>VLOOKUP($B36,Дс_р!$C$16:$K$70,8,FALSE)</f>
        <v>#N/A</v>
      </c>
      <c r="M36" s="62" t="e">
        <f>VLOOKUP($B36,Ш_р!$C$15:$AF$69,17,FALSE)</f>
        <v>#N/A</v>
      </c>
      <c r="N36" s="62" t="e">
        <f>VLOOKUP($B36,К_р!$C$15:$K$68,8,FALSE)</f>
        <v>#N/A</v>
      </c>
      <c r="O36" s="70" t="e">
        <f>VLOOKUP($B36,'15_р'!$C$17:$H$86,5,FALSE)</f>
        <v>#N/A</v>
      </c>
      <c r="P36" s="97" t="e">
        <f>SUM(F38:O38)</f>
        <v>#N/A</v>
      </c>
      <c r="Q36" s="35" t="e">
        <f>LOOKUP(P36,$V$1:$V$7,$W$1:$W$7)</f>
        <v>#N/A</v>
      </c>
      <c r="R36" s="35"/>
      <c r="S36" s="31" t="e">
        <f>$A36</f>
        <v>#N/A</v>
      </c>
      <c r="T36" s="31">
        <v>1</v>
      </c>
      <c r="U36" s="83"/>
      <c r="V36" s="78"/>
      <c r="W36" s="78"/>
      <c r="X36" s="78"/>
      <c r="Y36" s="78"/>
      <c r="Z36" s="78"/>
      <c r="AA36" s="78"/>
      <c r="AB36" s="79"/>
      <c r="AC36" s="79"/>
      <c r="AD36" s="79"/>
    </row>
    <row r="37" spans="1:35" s="60" customFormat="1" ht="13.5" customHeight="1" x14ac:dyDescent="0.35">
      <c r="A37" s="35"/>
      <c r="B37" s="35"/>
      <c r="C37" s="66" t="e">
        <f>VLOOKUP(B36,Уч!$A$2:$L$26,5,FALSE)</f>
        <v>#N/A</v>
      </c>
      <c r="D37" s="109" t="e">
        <f>VLOOKUP(B36,Уч!$A$2:$L$26,4,FALSE)</f>
        <v>#N/A</v>
      </c>
      <c r="E37" s="33" t="s">
        <v>97</v>
      </c>
      <c r="F37" s="68" t="e">
        <f>VLOOKUP($B36,'100 м 1'!$C$18:$I$86,6,FALSE)</f>
        <v>#N/A</v>
      </c>
      <c r="G37" s="69" t="e">
        <f>VLOOKUP($B36,'длина 2 '!$C$16:$O$54,12,FALSE)</f>
        <v>#N/A</v>
      </c>
      <c r="H37" s="70"/>
      <c r="I37" s="69"/>
      <c r="J37" s="69"/>
      <c r="K37" s="69" t="e">
        <f>VLOOKUP($B36,'1cб_р'!$C$17:$I$63,6,FALSE)</f>
        <v>#N/A</v>
      </c>
      <c r="L37" s="69"/>
      <c r="M37" s="69"/>
      <c r="N37" s="70"/>
      <c r="O37" s="70"/>
      <c r="P37" s="97"/>
      <c r="Q37" s="34"/>
      <c r="R37" s="63"/>
      <c r="S37" s="31" t="e">
        <f>$A36</f>
        <v>#N/A</v>
      </c>
      <c r="T37" s="31">
        <v>2</v>
      </c>
      <c r="U37" s="83"/>
      <c r="V37" s="78"/>
      <c r="W37" s="78"/>
      <c r="X37" s="78"/>
      <c r="Y37" s="78"/>
      <c r="Z37" s="78"/>
      <c r="AA37" s="78"/>
      <c r="AB37" s="79"/>
      <c r="AC37" s="79"/>
      <c r="AD37" s="79"/>
      <c r="AF37" s="35"/>
      <c r="AG37" s="35"/>
      <c r="AI37" s="35"/>
    </row>
    <row r="38" spans="1:35" s="60" customFormat="1" ht="13.5" customHeight="1" x14ac:dyDescent="0.35">
      <c r="A38" s="35"/>
      <c r="B38" s="35"/>
      <c r="C38" s="67" t="e">
        <f>VLOOKUP(B36,Уч!$A$2:$L$26,7,FALSE)</f>
        <v>#N/A</v>
      </c>
      <c r="D38" s="109"/>
      <c r="E38" s="33" t="s">
        <v>77</v>
      </c>
      <c r="F38" s="72" t="e">
        <f>VLOOKUP($B36,'100 м 1'!$C$18:$I$86,7,FALSE)</f>
        <v>#N/A</v>
      </c>
      <c r="G38" s="70" t="e">
        <f>VLOOKUP($B36,'длина 2 '!$C$16:$O$54,13,FALSE)</f>
        <v>#N/A</v>
      </c>
      <c r="H38" s="70" t="e">
        <f>VLOOKUP($B36,'ядро 2'!$C$16:$K$60,9,FALSE)</f>
        <v>#N/A</v>
      </c>
      <c r="I38" s="70" t="e">
        <f>VLOOKUP($B36,'высота 2'!$C$16:$AF$57,24,)</f>
        <v>#N/A</v>
      </c>
      <c r="J38" s="70" t="e">
        <f>VLOOKUP($B36,'4_р'!$C$17:$H$73,6,FALSE)</f>
        <v>#N/A</v>
      </c>
      <c r="K38" s="70" t="e">
        <f>VLOOKUP($B36,'1cб_р'!$C$17:$I$63,7,FALSE)</f>
        <v>#N/A</v>
      </c>
      <c r="L38" s="70" t="e">
        <f>VLOOKUP($B36,Дс_р!$C$16:$K$70,9,FALSE)</f>
        <v>#N/A</v>
      </c>
      <c r="M38" s="70" t="e">
        <f>VLOOKUP($B36,Ш_р!$C$15:$AF$69,18,FALSE)</f>
        <v>#N/A</v>
      </c>
      <c r="N38" s="70" t="e">
        <f>VLOOKUP($B36,К_р!$C$15:$K$68,9,FALSE)</f>
        <v>#N/A</v>
      </c>
      <c r="O38" s="70" t="e">
        <f>VLOOKUP($B36,'15_р'!$C$17:$H$86,6,FALSE)</f>
        <v>#N/A</v>
      </c>
      <c r="P38" s="97"/>
      <c r="Q38" s="34"/>
      <c r="R38" s="63"/>
      <c r="S38" s="31" t="e">
        <f>$A36</f>
        <v>#N/A</v>
      </c>
      <c r="T38" s="31">
        <v>3</v>
      </c>
      <c r="U38" s="83"/>
      <c r="V38" s="78"/>
      <c r="W38" s="78"/>
      <c r="X38" s="78"/>
      <c r="Y38" s="78"/>
      <c r="Z38" s="78"/>
      <c r="AA38" s="78"/>
      <c r="AB38" s="79"/>
      <c r="AC38" s="79"/>
      <c r="AD38" s="79"/>
      <c r="AF38" s="35"/>
      <c r="AG38" s="35"/>
      <c r="AI38" s="35"/>
    </row>
    <row r="39" spans="1:35" s="60" customFormat="1" ht="13.5" customHeight="1" x14ac:dyDescent="0.35">
      <c r="A39" s="35"/>
      <c r="B39" s="35"/>
      <c r="C39" s="66" t="e">
        <f>VLOOKUP(B36,Уч!$A$2:$L$26,11,FALSE)</f>
        <v>#N/A</v>
      </c>
      <c r="D39" s="109"/>
      <c r="E39" s="33" t="s">
        <v>98</v>
      </c>
      <c r="F39" s="72" t="e">
        <f>F38</f>
        <v>#N/A</v>
      </c>
      <c r="G39" s="70" t="e">
        <f>F39+G38</f>
        <v>#N/A</v>
      </c>
      <c r="H39" s="70" t="e">
        <f>G39+H38</f>
        <v>#N/A</v>
      </c>
      <c r="I39" s="70" t="e">
        <f>H39+I38</f>
        <v>#N/A</v>
      </c>
      <c r="J39" s="70" t="e">
        <f>SUM($F38:J38)</f>
        <v>#N/A</v>
      </c>
      <c r="K39" s="70" t="e">
        <f>SUM($F38:$K38)</f>
        <v>#N/A</v>
      </c>
      <c r="L39" s="70" t="e">
        <f>K39+L38</f>
        <v>#N/A</v>
      </c>
      <c r="M39" s="70" t="e">
        <f>L39+M38</f>
        <v>#N/A</v>
      </c>
      <c r="N39" s="70" t="e">
        <f>SUM($F38:$N38)</f>
        <v>#N/A</v>
      </c>
      <c r="O39" s="70" t="e">
        <f>SUM($F38:$O38)</f>
        <v>#N/A</v>
      </c>
      <c r="P39" s="97"/>
      <c r="Q39" s="34"/>
      <c r="R39" s="63"/>
      <c r="S39" s="31" t="e">
        <f>$A36</f>
        <v>#N/A</v>
      </c>
      <c r="T39" s="31">
        <v>4</v>
      </c>
      <c r="U39" s="63" t="e">
        <f t="shared" ref="U39:AD39" si="4">F39</f>
        <v>#N/A</v>
      </c>
      <c r="V39" s="63" t="e">
        <f t="shared" si="4"/>
        <v>#N/A</v>
      </c>
      <c r="W39" s="63" t="e">
        <f t="shared" si="4"/>
        <v>#N/A</v>
      </c>
      <c r="X39" s="63" t="e">
        <f t="shared" si="4"/>
        <v>#N/A</v>
      </c>
      <c r="Y39" s="63" t="e">
        <f t="shared" si="4"/>
        <v>#N/A</v>
      </c>
      <c r="Z39" s="63" t="e">
        <f t="shared" si="4"/>
        <v>#N/A</v>
      </c>
      <c r="AA39" s="63" t="e">
        <f t="shared" si="4"/>
        <v>#N/A</v>
      </c>
      <c r="AB39" s="63" t="e">
        <f t="shared" si="4"/>
        <v>#N/A</v>
      </c>
      <c r="AC39" s="63" t="e">
        <f t="shared" si="4"/>
        <v>#N/A</v>
      </c>
      <c r="AD39" s="63" t="e">
        <f t="shared" si="4"/>
        <v>#N/A</v>
      </c>
      <c r="AF39" s="35"/>
      <c r="AG39" s="35"/>
      <c r="AI39" s="35"/>
    </row>
    <row r="40" spans="1:35" s="60" customFormat="1" ht="13.5" customHeight="1" thickBot="1" x14ac:dyDescent="0.4">
      <c r="A40" s="73"/>
      <c r="B40" s="73"/>
      <c r="C40" s="74" t="e">
        <f>VLOOKUP(B36,Уч!$A$2:$L$26,12,FALSE)</f>
        <v>#N/A</v>
      </c>
      <c r="D40" s="110"/>
      <c r="E40" s="43" t="s">
        <v>37</v>
      </c>
      <c r="F40" s="75" t="e">
        <f>RANK(F39,$U$19:$U$165,0)</f>
        <v>#N/A</v>
      </c>
      <c r="G40" s="76" t="e">
        <f>RANK(G39,$V$19:$V$165,0)</f>
        <v>#N/A</v>
      </c>
      <c r="H40" s="76" t="e">
        <f>RANK(H39,$W$19:$W$165,0)</f>
        <v>#N/A</v>
      </c>
      <c r="I40" s="76" t="e">
        <f>RANK(I39,$X$19:$X$165,0)</f>
        <v>#N/A</v>
      </c>
      <c r="J40" s="76" t="e">
        <f>RANK(J39,$Y$19:$Y$165,0)</f>
        <v>#N/A</v>
      </c>
      <c r="K40" s="76" t="e">
        <f>RANK(K39,$Z$19:$Z$165,0)</f>
        <v>#N/A</v>
      </c>
      <c r="L40" s="76" t="e">
        <f>RANK(L39,$AA$19:$AA$165,0)</f>
        <v>#N/A</v>
      </c>
      <c r="M40" s="76" t="e">
        <f>RANK(M39,$AB$19:$AB$155,0)</f>
        <v>#N/A</v>
      </c>
      <c r="N40" s="76" t="e">
        <f>RANK(N39,$AC$19:$AC$165,0)</f>
        <v>#N/A</v>
      </c>
      <c r="O40" s="76" t="e">
        <f>RANK(O39,$AD$19:$AD$165,0)</f>
        <v>#N/A</v>
      </c>
      <c r="P40" s="98"/>
      <c r="Q40" s="81"/>
      <c r="R40" s="77"/>
      <c r="S40" s="31" t="e">
        <f>$A36</f>
        <v>#N/A</v>
      </c>
      <c r="T40" s="31">
        <v>5</v>
      </c>
      <c r="U40" s="83"/>
      <c r="V40" s="78"/>
      <c r="W40" s="78"/>
      <c r="X40" s="78"/>
      <c r="Y40" s="78"/>
      <c r="Z40" s="78"/>
      <c r="AA40" s="78"/>
      <c r="AB40" s="79"/>
      <c r="AC40" s="79"/>
      <c r="AD40" s="79"/>
      <c r="AF40" s="35"/>
      <c r="AG40" s="35"/>
      <c r="AI40" s="35"/>
    </row>
    <row r="41" spans="1:35" s="60" customFormat="1" ht="13.5" customHeight="1" thickTop="1" x14ac:dyDescent="0.35">
      <c r="A41" s="35" t="e">
        <f>RANK(P41,$P$16:$P$165,0)</f>
        <v>#N/A</v>
      </c>
      <c r="B41" s="35">
        <v>16</v>
      </c>
      <c r="C41" s="60" t="e">
        <f>VLOOKUP(B41,Уч!$A$2:$L$26,2,FALSE)</f>
        <v>#N/A</v>
      </c>
      <c r="D41" s="107">
        <v>32964</v>
      </c>
      <c r="E41" s="33" t="s">
        <v>28</v>
      </c>
      <c r="F41" s="61" t="e">
        <f>VLOOKUP($B41,'100 м 1'!$C$18:$I$86,5,FALSE)</f>
        <v>#N/A</v>
      </c>
      <c r="G41" s="62" t="e">
        <f>VLOOKUP($B41,'длина 2 '!$C$16:$O$54,11,FALSE)</f>
        <v>#N/A</v>
      </c>
      <c r="H41" s="62" t="e">
        <f>VLOOKUP($B41,'ядро 2'!$C$16:$K$60,8,FALSE)</f>
        <v>#N/A</v>
      </c>
      <c r="I41" s="62" t="e">
        <f>VLOOKUP($B41,'высота 2'!$C$16:$AF$57,23,FALSE)</f>
        <v>#N/A</v>
      </c>
      <c r="J41" s="62" t="e">
        <f>VLOOKUP($B41,'4_р'!$C$17:$H$73,5,FALSE)</f>
        <v>#N/A</v>
      </c>
      <c r="K41" s="62" t="e">
        <f>VLOOKUP($B41,'1cб_р'!$C$17:$I$63,5,FALSE)</f>
        <v>#N/A</v>
      </c>
      <c r="L41" s="62" t="e">
        <f>VLOOKUP($B41,Дс_р!$C$16:$K$70,8,FALSE)</f>
        <v>#N/A</v>
      </c>
      <c r="M41" s="62">
        <f>VLOOKUP($B41,Ш_р!$C$15:$AF$69,17,FALSE)</f>
        <v>0</v>
      </c>
      <c r="N41" s="62" t="e">
        <f>VLOOKUP($B41,К_р!$C$15:$K$68,8,FALSE)</f>
        <v>#N/A</v>
      </c>
      <c r="O41" s="70" t="e">
        <f>VLOOKUP($B41,'15_р'!$C$17:$H$86,5,FALSE)</f>
        <v>#N/A</v>
      </c>
      <c r="P41" s="97" t="e">
        <f>SUM(F43:O43)</f>
        <v>#N/A</v>
      </c>
      <c r="Q41" s="35" t="e">
        <f>LOOKUP(P41,$V$1:$V$7,$W$1:$W$7)</f>
        <v>#N/A</v>
      </c>
      <c r="R41" s="35"/>
      <c r="S41" s="31" t="e">
        <f>$A41</f>
        <v>#N/A</v>
      </c>
      <c r="T41" s="31">
        <v>1</v>
      </c>
      <c r="U41" s="83"/>
      <c r="V41" s="78"/>
      <c r="W41" s="78"/>
      <c r="X41" s="78"/>
      <c r="Y41" s="78"/>
      <c r="Z41" s="78"/>
      <c r="AA41" s="78"/>
      <c r="AB41" s="79"/>
      <c r="AC41" s="79"/>
      <c r="AD41" s="79"/>
      <c r="AF41" s="35"/>
      <c r="AG41" s="35"/>
      <c r="AI41" s="35"/>
    </row>
    <row r="42" spans="1:35" s="60" customFormat="1" ht="13.5" customHeight="1" x14ac:dyDescent="0.35">
      <c r="A42" s="35"/>
      <c r="B42" s="35"/>
      <c r="C42" s="66" t="e">
        <f>VLOOKUP(B41,Уч!$A$2:$L$26,5,FALSE)</f>
        <v>#N/A</v>
      </c>
      <c r="D42" s="109" t="e">
        <f>VLOOKUP(B41,Уч!$A$2:$L$26,4,FALSE)</f>
        <v>#N/A</v>
      </c>
      <c r="E42" s="33" t="s">
        <v>97</v>
      </c>
      <c r="F42" s="68" t="e">
        <f>VLOOKUP($B41,'100 м 1'!$C$18:$I$86,6,FALSE)</f>
        <v>#N/A</v>
      </c>
      <c r="G42" s="69" t="e">
        <f>VLOOKUP($B41,'длина 2 '!$C$16:$O$54,12,FALSE)</f>
        <v>#N/A</v>
      </c>
      <c r="H42" s="70"/>
      <c r="I42" s="69"/>
      <c r="J42" s="69"/>
      <c r="K42" s="69" t="e">
        <f>VLOOKUP($B41,'1cб_р'!$C$17:$I$63,6,FALSE)</f>
        <v>#N/A</v>
      </c>
      <c r="L42" s="69"/>
      <c r="M42" s="69"/>
      <c r="N42" s="70"/>
      <c r="O42" s="70"/>
      <c r="P42" s="97"/>
      <c r="Q42" s="63"/>
      <c r="R42" s="63"/>
      <c r="S42" s="31" t="e">
        <f>$A41</f>
        <v>#N/A</v>
      </c>
      <c r="T42" s="31">
        <v>2</v>
      </c>
      <c r="U42" s="83"/>
      <c r="V42" s="78"/>
      <c r="W42" s="78"/>
      <c r="X42" s="78"/>
      <c r="Y42" s="78"/>
      <c r="Z42" s="78"/>
      <c r="AA42" s="78"/>
      <c r="AB42" s="79"/>
      <c r="AC42" s="79"/>
      <c r="AD42" s="79"/>
      <c r="AF42" s="35"/>
      <c r="AG42" s="35"/>
      <c r="AI42" s="35"/>
    </row>
    <row r="43" spans="1:35" s="60" customFormat="1" ht="13.5" customHeight="1" x14ac:dyDescent="0.35">
      <c r="A43" s="35"/>
      <c r="B43" s="35"/>
      <c r="C43" s="67" t="e">
        <f>VLOOKUP(B41,Уч!$A$2:$L$26,7,FALSE)</f>
        <v>#N/A</v>
      </c>
      <c r="D43" s="109"/>
      <c r="E43" s="33" t="s">
        <v>77</v>
      </c>
      <c r="F43" s="72" t="e">
        <f>VLOOKUP($B41,'100 м 1'!$C$18:$I$86,7,FALSE)</f>
        <v>#N/A</v>
      </c>
      <c r="G43" s="70" t="e">
        <f>VLOOKUP($B41,'длина 2 '!$C$16:$O$54,13,FALSE)</f>
        <v>#N/A</v>
      </c>
      <c r="H43" s="70" t="e">
        <f>VLOOKUP($B41,'ядро 2'!$C$16:$K$60,9,FALSE)</f>
        <v>#N/A</v>
      </c>
      <c r="I43" s="70" t="e">
        <f>VLOOKUP($B41,'высота 2'!$C$16:$AF$57,24,)</f>
        <v>#N/A</v>
      </c>
      <c r="J43" s="70" t="e">
        <f>VLOOKUP($B41,'4_р'!$C$17:$H$73,6,FALSE)</f>
        <v>#N/A</v>
      </c>
      <c r="K43" s="70" t="e">
        <f>VLOOKUP($B41,'1cб_р'!$C$17:$I$63,7,FALSE)</f>
        <v>#N/A</v>
      </c>
      <c r="L43" s="70" t="e">
        <f>VLOOKUP($B41,Дс_р!$C$16:$K$70,9,FALSE)</f>
        <v>#N/A</v>
      </c>
      <c r="M43" s="70">
        <f>VLOOKUP($B41,Ш_р!$C$15:$AF$69,18,FALSE)</f>
        <v>0</v>
      </c>
      <c r="N43" s="70" t="e">
        <f>VLOOKUP($B41,К_р!$C$15:$K$68,9,FALSE)</f>
        <v>#N/A</v>
      </c>
      <c r="O43" s="70" t="e">
        <f>VLOOKUP($B41,'15_р'!$C$17:$H$86,6,FALSE)</f>
        <v>#N/A</v>
      </c>
      <c r="P43" s="97"/>
      <c r="Q43" s="63"/>
      <c r="R43" s="63"/>
      <c r="S43" s="31" t="e">
        <f>$A41</f>
        <v>#N/A</v>
      </c>
      <c r="T43" s="31">
        <v>3</v>
      </c>
      <c r="U43" s="83"/>
      <c r="V43" s="78"/>
      <c r="W43" s="78"/>
      <c r="X43" s="78"/>
      <c r="Y43" s="78"/>
      <c r="Z43" s="78"/>
      <c r="AA43" s="78"/>
      <c r="AB43" s="79"/>
      <c r="AC43" s="79"/>
      <c r="AD43" s="79"/>
      <c r="AF43" s="35"/>
      <c r="AG43" s="35"/>
      <c r="AI43" s="35"/>
    </row>
    <row r="44" spans="1:35" s="60" customFormat="1" ht="13.5" customHeight="1" x14ac:dyDescent="0.35">
      <c r="A44" s="35"/>
      <c r="B44" s="35"/>
      <c r="C44" s="66" t="e">
        <f>VLOOKUP(B41,Уч!$A$2:$L$26,11,FALSE)</f>
        <v>#N/A</v>
      </c>
      <c r="D44" s="109"/>
      <c r="E44" s="33" t="s">
        <v>98</v>
      </c>
      <c r="F44" s="72" t="e">
        <f>F43</f>
        <v>#N/A</v>
      </c>
      <c r="G44" s="70" t="e">
        <f>F44+G43</f>
        <v>#N/A</v>
      </c>
      <c r="H44" s="70" t="e">
        <f>G44+H43</f>
        <v>#N/A</v>
      </c>
      <c r="I44" s="70" t="e">
        <f>H44+I43</f>
        <v>#N/A</v>
      </c>
      <c r="J44" s="70" t="e">
        <f>SUM($F43:J43)</f>
        <v>#N/A</v>
      </c>
      <c r="K44" s="70" t="e">
        <f>SUM($F43:$K43)</f>
        <v>#N/A</v>
      </c>
      <c r="L44" s="70" t="e">
        <f>K44+L43</f>
        <v>#N/A</v>
      </c>
      <c r="M44" s="70" t="e">
        <f>L44+M43</f>
        <v>#N/A</v>
      </c>
      <c r="N44" s="70" t="e">
        <f>SUM($F43:$N43)</f>
        <v>#N/A</v>
      </c>
      <c r="O44" s="70" t="e">
        <f>SUM($F43:$O43)</f>
        <v>#N/A</v>
      </c>
      <c r="P44" s="97"/>
      <c r="Q44" s="63"/>
      <c r="R44" s="63"/>
      <c r="S44" s="31" t="e">
        <f>$A41</f>
        <v>#N/A</v>
      </c>
      <c r="T44" s="31">
        <v>4</v>
      </c>
      <c r="U44" s="63" t="e">
        <f t="shared" ref="U44:AD44" si="5">F44</f>
        <v>#N/A</v>
      </c>
      <c r="V44" s="63" t="e">
        <f t="shared" si="5"/>
        <v>#N/A</v>
      </c>
      <c r="W44" s="63" t="e">
        <f t="shared" si="5"/>
        <v>#N/A</v>
      </c>
      <c r="X44" s="63" t="e">
        <f t="shared" si="5"/>
        <v>#N/A</v>
      </c>
      <c r="Y44" s="63" t="e">
        <f t="shared" si="5"/>
        <v>#N/A</v>
      </c>
      <c r="Z44" s="63" t="e">
        <f t="shared" si="5"/>
        <v>#N/A</v>
      </c>
      <c r="AA44" s="63" t="e">
        <f t="shared" si="5"/>
        <v>#N/A</v>
      </c>
      <c r="AB44" s="63" t="e">
        <f t="shared" si="5"/>
        <v>#N/A</v>
      </c>
      <c r="AC44" s="63" t="e">
        <f t="shared" si="5"/>
        <v>#N/A</v>
      </c>
      <c r="AD44" s="63" t="e">
        <f t="shared" si="5"/>
        <v>#N/A</v>
      </c>
      <c r="AF44" s="35"/>
      <c r="AG44" s="35"/>
      <c r="AI44" s="35"/>
    </row>
    <row r="45" spans="1:35" s="60" customFormat="1" ht="13.5" customHeight="1" thickBot="1" x14ac:dyDescent="0.4">
      <c r="A45" s="73"/>
      <c r="B45" s="73"/>
      <c r="C45" s="74" t="e">
        <f>VLOOKUP(B41,Уч!$A$2:$L$26,12,FALSE)</f>
        <v>#N/A</v>
      </c>
      <c r="D45" s="110"/>
      <c r="E45" s="43" t="s">
        <v>37</v>
      </c>
      <c r="F45" s="75" t="e">
        <f>RANK(F44,$U$19:$U$165,0)</f>
        <v>#N/A</v>
      </c>
      <c r="G45" s="76" t="e">
        <f>RANK(G44,$V$19:$V$165,0)</f>
        <v>#N/A</v>
      </c>
      <c r="H45" s="76" t="e">
        <f>RANK(H44,$W$19:$W$165,0)</f>
        <v>#N/A</v>
      </c>
      <c r="I45" s="76" t="e">
        <f>RANK(I44,$X$19:$X$165,0)</f>
        <v>#N/A</v>
      </c>
      <c r="J45" s="76" t="e">
        <f>RANK(J44,$Y$19:$Y$165,0)</f>
        <v>#N/A</v>
      </c>
      <c r="K45" s="76" t="e">
        <f>RANK(K44,$Z$19:$Z$165,0)</f>
        <v>#N/A</v>
      </c>
      <c r="L45" s="76" t="e">
        <f>RANK(L44,$AA$19:$AA$165,0)</f>
        <v>#N/A</v>
      </c>
      <c r="M45" s="76" t="e">
        <f>RANK(M44,$AB$19:$AB$155,0)</f>
        <v>#N/A</v>
      </c>
      <c r="N45" s="76" t="e">
        <f>RANK(N44,$AC$19:$AC$165,0)</f>
        <v>#N/A</v>
      </c>
      <c r="O45" s="76" t="e">
        <f>RANK(O44,$AD$19:$AD$165,0)</f>
        <v>#N/A</v>
      </c>
      <c r="P45" s="98"/>
      <c r="Q45" s="77"/>
      <c r="R45" s="77"/>
      <c r="S45" s="31" t="e">
        <f>$A41</f>
        <v>#N/A</v>
      </c>
      <c r="T45" s="31">
        <v>5</v>
      </c>
      <c r="U45" s="83"/>
      <c r="V45" s="78"/>
      <c r="W45" s="78"/>
      <c r="X45" s="78"/>
      <c r="Y45" s="78"/>
      <c r="Z45" s="78"/>
      <c r="AA45" s="78"/>
      <c r="AB45" s="79"/>
      <c r="AC45" s="79"/>
      <c r="AD45" s="79"/>
      <c r="AF45" s="35"/>
      <c r="AG45" s="35"/>
      <c r="AI45" s="35"/>
    </row>
    <row r="46" spans="1:35" s="60" customFormat="1" ht="13.5" customHeight="1" thickTop="1" x14ac:dyDescent="0.35">
      <c r="A46" s="35" t="e">
        <f>RANK(P46,$P$16:$P$165,0)</f>
        <v>#N/A</v>
      </c>
      <c r="B46" s="35">
        <v>52</v>
      </c>
      <c r="C46" s="60" t="e">
        <f>VLOOKUP(B46,Уч!$A$2:$L$26,2,FALSE)</f>
        <v>#N/A</v>
      </c>
      <c r="D46" s="107" t="e">
        <f>VLOOKUP(B46,Уч!$A$2:$L$26,3,FALSE)</f>
        <v>#N/A</v>
      </c>
      <c r="E46" s="33" t="s">
        <v>28</v>
      </c>
      <c r="F46" s="61">
        <f>VLOOKUP($B46,'100 м 1'!$C$18:$I$86,5,FALSE)</f>
        <v>10.93</v>
      </c>
      <c r="G46" s="62" t="e">
        <f>VLOOKUP($B46,'длина 2 '!$C$16:$O$54,11,FALSE)</f>
        <v>#N/A</v>
      </c>
      <c r="H46" s="62" t="e">
        <f>VLOOKUP($B46,'ядро 2'!$C$16:$K$60,8,FALSE)</f>
        <v>#N/A</v>
      </c>
      <c r="I46" s="62" t="e">
        <f>VLOOKUP($B46,'высота 2'!$C$16:$AF$57,23,FALSE)</f>
        <v>#N/A</v>
      </c>
      <c r="J46" s="62">
        <f>VLOOKUP($B46,'4_р'!$C$17:$H$73,5,FALSE)</f>
        <v>0</v>
      </c>
      <c r="K46" s="62" t="e">
        <f>VLOOKUP($B46,'1cб_р'!$C$17:$I$63,5,FALSE)</f>
        <v>#N/A</v>
      </c>
      <c r="L46" s="62" t="e">
        <f>VLOOKUP($B46,Дс_р!$C$16:$K$70,8,FALSE)</f>
        <v>#N/A</v>
      </c>
      <c r="M46" s="62" t="e">
        <f>VLOOKUP($B46,Ш_р!$C$15:$AF$69,17,FALSE)</f>
        <v>#N/A</v>
      </c>
      <c r="N46" s="62" t="e">
        <f>VLOOKUP($B46,К_р!$C$15:$K$68,8,FALSE)</f>
        <v>#N/A</v>
      </c>
      <c r="O46" s="70">
        <f>VLOOKUP($B46,'15_р'!$C$17:$H$86,5,FALSE)</f>
        <v>0</v>
      </c>
      <c r="P46" s="97" t="e">
        <f>SUM(F48:O48)</f>
        <v>#N/A</v>
      </c>
      <c r="Q46" s="35" t="e">
        <f>LOOKUP(P46,$V$1:$V$7,$W$1:$W$7)</f>
        <v>#N/A</v>
      </c>
      <c r="R46" s="35"/>
      <c r="S46" s="31" t="e">
        <f>$A46</f>
        <v>#N/A</v>
      </c>
      <c r="T46" s="31">
        <v>1</v>
      </c>
      <c r="U46" s="83"/>
      <c r="V46" s="78"/>
      <c r="W46" s="78"/>
      <c r="X46" s="78"/>
      <c r="Y46" s="78"/>
      <c r="Z46" s="78"/>
      <c r="AA46" s="78"/>
      <c r="AB46" s="79"/>
      <c r="AC46" s="79"/>
      <c r="AD46" s="79"/>
      <c r="AF46" s="35"/>
      <c r="AG46" s="35"/>
      <c r="AI46" s="35"/>
    </row>
    <row r="47" spans="1:35" s="60" customFormat="1" ht="13.5" customHeight="1" x14ac:dyDescent="0.35">
      <c r="A47" s="35"/>
      <c r="B47" s="35"/>
      <c r="C47" s="66" t="e">
        <f>VLOOKUP(B46,Уч!$A$2:$L$26,5,FALSE)</f>
        <v>#N/A</v>
      </c>
      <c r="D47" s="107" t="e">
        <f>VLOOKUP(B46,Уч!$A$2:$L$26,4,FALSE)</f>
        <v>#N/A</v>
      </c>
      <c r="E47" s="33" t="s">
        <v>97</v>
      </c>
      <c r="F47" s="68">
        <f>VLOOKUP($B46,'100 м 1'!$C$18:$I$86,6,FALSE)</f>
        <v>1</v>
      </c>
      <c r="G47" s="69" t="e">
        <f>VLOOKUP($B46,'длина 2 '!$C$16:$O$54,12,FALSE)</f>
        <v>#N/A</v>
      </c>
      <c r="H47" s="70"/>
      <c r="I47" s="69"/>
      <c r="J47" s="69"/>
      <c r="K47" s="69" t="e">
        <f>VLOOKUP($B46,'1cб_р'!$C$17:$I$63,6,FALSE)</f>
        <v>#N/A</v>
      </c>
      <c r="L47" s="69"/>
      <c r="M47" s="69"/>
      <c r="N47" s="70"/>
      <c r="O47" s="70"/>
      <c r="P47" s="97"/>
      <c r="Q47" s="80"/>
      <c r="R47" s="63"/>
      <c r="S47" s="31" t="e">
        <f>$A46</f>
        <v>#N/A</v>
      </c>
      <c r="T47" s="31">
        <v>2</v>
      </c>
      <c r="U47" s="83"/>
      <c r="V47" s="78"/>
      <c r="W47" s="78"/>
      <c r="X47" s="78"/>
      <c r="Y47" s="78"/>
      <c r="Z47" s="78"/>
      <c r="AA47" s="78"/>
      <c r="AB47" s="79"/>
      <c r="AC47" s="79"/>
      <c r="AD47" s="79"/>
      <c r="AF47" s="35"/>
      <c r="AG47" s="35"/>
      <c r="AI47" s="35"/>
    </row>
    <row r="48" spans="1:35" s="60" customFormat="1" ht="13.5" customHeight="1" x14ac:dyDescent="0.35">
      <c r="A48" s="35"/>
      <c r="B48" s="35"/>
      <c r="C48" s="67" t="e">
        <f>VLOOKUP(B46,Уч!$A$2:$L$26,7,FALSE)</f>
        <v>#N/A</v>
      </c>
      <c r="D48" s="107"/>
      <c r="E48" s="33" t="s">
        <v>77</v>
      </c>
      <c r="F48" s="72">
        <f>VLOOKUP($B46,'100 м 1'!$C$18:$I$86,7,FALSE)</f>
        <v>876</v>
      </c>
      <c r="G48" s="70" t="e">
        <f>VLOOKUP($B46,'длина 2 '!$C$16:$O$54,13,FALSE)</f>
        <v>#N/A</v>
      </c>
      <c r="H48" s="70" t="e">
        <f>VLOOKUP($B46,'ядро 2'!$C$16:$K$60,9,FALSE)</f>
        <v>#N/A</v>
      </c>
      <c r="I48" s="70" t="e">
        <f>VLOOKUP($B46,'высота 2'!$C$16:$AF$57,24,)</f>
        <v>#N/A</v>
      </c>
      <c r="J48" s="70">
        <f>VLOOKUP($B46,'4_р'!$C$17:$H$73,6,FALSE)</f>
        <v>0</v>
      </c>
      <c r="K48" s="70" t="e">
        <f>VLOOKUP($B46,'1cб_р'!$C$17:$I$63,7,FALSE)</f>
        <v>#N/A</v>
      </c>
      <c r="L48" s="70" t="e">
        <f>VLOOKUP($B46,Дс_р!$C$16:$K$70,9,FALSE)</f>
        <v>#N/A</v>
      </c>
      <c r="M48" s="70" t="e">
        <f>VLOOKUP($B46,Ш_р!$C$15:$AF$69,18,FALSE)</f>
        <v>#N/A</v>
      </c>
      <c r="N48" s="70" t="e">
        <f>VLOOKUP($B46,К_р!$C$15:$K$68,9,FALSE)</f>
        <v>#N/A</v>
      </c>
      <c r="O48" s="70">
        <f>VLOOKUP($B46,'15_р'!$C$17:$H$86,6,FALSE)</f>
        <v>0</v>
      </c>
      <c r="P48" s="97"/>
      <c r="Q48" s="80"/>
      <c r="R48" s="63"/>
      <c r="S48" s="31" t="e">
        <f>$A46</f>
        <v>#N/A</v>
      </c>
      <c r="T48" s="31">
        <v>3</v>
      </c>
      <c r="U48" s="83"/>
      <c r="V48" s="78"/>
      <c r="W48" s="78"/>
      <c r="X48" s="78"/>
      <c r="Y48" s="78"/>
      <c r="Z48" s="78"/>
      <c r="AA48" s="78"/>
      <c r="AB48" s="79"/>
      <c r="AC48" s="79"/>
      <c r="AD48" s="79"/>
      <c r="AF48" s="35"/>
      <c r="AG48" s="35"/>
      <c r="AI48" s="35"/>
    </row>
    <row r="49" spans="1:35" s="60" customFormat="1" ht="13.5" customHeight="1" x14ac:dyDescent="0.35">
      <c r="A49" s="35"/>
      <c r="B49" s="35"/>
      <c r="C49" s="66" t="e">
        <f>VLOOKUP(B46,Уч!$A$2:$L$26,11,FALSE)</f>
        <v>#N/A</v>
      </c>
      <c r="D49" s="107"/>
      <c r="E49" s="33" t="s">
        <v>98</v>
      </c>
      <c r="F49" s="72">
        <f>F48</f>
        <v>876</v>
      </c>
      <c r="G49" s="70" t="e">
        <f>F49+G48</f>
        <v>#N/A</v>
      </c>
      <c r="H49" s="70" t="e">
        <f>G49+H48</f>
        <v>#N/A</v>
      </c>
      <c r="I49" s="70" t="e">
        <f>H49+I48</f>
        <v>#N/A</v>
      </c>
      <c r="J49" s="70" t="e">
        <f>SUM($F48:J48)</f>
        <v>#N/A</v>
      </c>
      <c r="K49" s="70" t="e">
        <f>SUM($F48:$K48)</f>
        <v>#N/A</v>
      </c>
      <c r="L49" s="70" t="e">
        <f>K49+L48</f>
        <v>#N/A</v>
      </c>
      <c r="M49" s="70" t="e">
        <f>L49+M48</f>
        <v>#N/A</v>
      </c>
      <c r="N49" s="70" t="e">
        <f>SUM($F48:$N48)</f>
        <v>#N/A</v>
      </c>
      <c r="O49" s="70" t="e">
        <f>SUM($F48:$O48)</f>
        <v>#N/A</v>
      </c>
      <c r="P49" s="97"/>
      <c r="Q49" s="80"/>
      <c r="R49" s="63"/>
      <c r="S49" s="31" t="e">
        <f>$A46</f>
        <v>#N/A</v>
      </c>
      <c r="T49" s="31">
        <v>4</v>
      </c>
      <c r="U49" s="63">
        <f t="shared" ref="U49:AD49" si="6">F49</f>
        <v>876</v>
      </c>
      <c r="V49" s="63" t="e">
        <f t="shared" si="6"/>
        <v>#N/A</v>
      </c>
      <c r="W49" s="63" t="e">
        <f t="shared" si="6"/>
        <v>#N/A</v>
      </c>
      <c r="X49" s="63" t="e">
        <f t="shared" si="6"/>
        <v>#N/A</v>
      </c>
      <c r="Y49" s="63" t="e">
        <f t="shared" si="6"/>
        <v>#N/A</v>
      </c>
      <c r="Z49" s="63" t="e">
        <f t="shared" si="6"/>
        <v>#N/A</v>
      </c>
      <c r="AA49" s="63" t="e">
        <f t="shared" si="6"/>
        <v>#N/A</v>
      </c>
      <c r="AB49" s="63" t="e">
        <f t="shared" si="6"/>
        <v>#N/A</v>
      </c>
      <c r="AC49" s="63" t="e">
        <f t="shared" si="6"/>
        <v>#N/A</v>
      </c>
      <c r="AD49" s="63" t="e">
        <f t="shared" si="6"/>
        <v>#N/A</v>
      </c>
      <c r="AF49" s="35"/>
      <c r="AG49" s="35"/>
      <c r="AI49" s="35"/>
    </row>
    <row r="50" spans="1:35" s="60" customFormat="1" ht="13.5" customHeight="1" thickBot="1" x14ac:dyDescent="0.4">
      <c r="A50" s="73"/>
      <c r="B50" s="73"/>
      <c r="C50" s="74" t="e">
        <f>VLOOKUP(B46,Уч!$A$2:$L$26,12,FALSE)</f>
        <v>#N/A</v>
      </c>
      <c r="D50" s="108"/>
      <c r="E50" s="43" t="s">
        <v>37</v>
      </c>
      <c r="F50" s="75" t="e">
        <f>RANK(F49,$U$19:$U$165,0)</f>
        <v>#N/A</v>
      </c>
      <c r="G50" s="76" t="e">
        <f>RANK(G49,$V$19:$V$165,0)</f>
        <v>#N/A</v>
      </c>
      <c r="H50" s="76" t="e">
        <f>RANK(H49,$W$19:$W$165,0)</f>
        <v>#N/A</v>
      </c>
      <c r="I50" s="76" t="e">
        <f>RANK(I49,$X$19:$X$165,0)</f>
        <v>#N/A</v>
      </c>
      <c r="J50" s="76" t="e">
        <f>RANK(J49,$Y$19:$Y$165,0)</f>
        <v>#N/A</v>
      </c>
      <c r="K50" s="76" t="e">
        <f>RANK(K49,$Z$19:$Z$165,0)</f>
        <v>#N/A</v>
      </c>
      <c r="L50" s="76" t="e">
        <f>RANK(L49,$AA$19:$AA$165,0)</f>
        <v>#N/A</v>
      </c>
      <c r="M50" s="76" t="e">
        <f>RANK(M49,$AB$19:$AB$155,0)</f>
        <v>#N/A</v>
      </c>
      <c r="N50" s="76" t="e">
        <f>RANK(N49,$AC$19:$AC$165,0)</f>
        <v>#N/A</v>
      </c>
      <c r="O50" s="76" t="e">
        <f>RANK(O49,$AD$19:$AD$165,0)</f>
        <v>#N/A</v>
      </c>
      <c r="P50" s="98"/>
      <c r="Q50" s="81"/>
      <c r="R50" s="77"/>
      <c r="S50" s="31" t="e">
        <f>$A46</f>
        <v>#N/A</v>
      </c>
      <c r="T50" s="31">
        <v>5</v>
      </c>
      <c r="U50" s="83"/>
      <c r="V50" s="78"/>
      <c r="W50" s="78"/>
      <c r="X50" s="78"/>
      <c r="Y50" s="78"/>
      <c r="Z50" s="78"/>
      <c r="AA50" s="78"/>
      <c r="AB50" s="79"/>
      <c r="AC50" s="79"/>
      <c r="AD50" s="79"/>
      <c r="AF50" s="35"/>
      <c r="AG50" s="35"/>
      <c r="AI50" s="35"/>
    </row>
    <row r="51" spans="1:35" s="60" customFormat="1" ht="13.5" customHeight="1" thickTop="1" x14ac:dyDescent="0.35">
      <c r="A51" s="35" t="e">
        <f>RANK(P51,$P$16:$P$165,0)</f>
        <v>#N/A</v>
      </c>
      <c r="B51" s="35">
        <v>98</v>
      </c>
      <c r="C51" s="60" t="str">
        <f>VLOOKUP(B51,Уч!$A$2:$L$26,2,FALSE)</f>
        <v>Недригайло Данил</v>
      </c>
      <c r="D51" s="107" t="str">
        <f>VLOOKUP(B51,Уч!$A$2:$L$26,3,FALSE)</f>
        <v>21.09.1999</v>
      </c>
      <c r="E51" s="33" t="s">
        <v>28</v>
      </c>
      <c r="F51" s="61">
        <f>VLOOKUP($B51,'100 м 1'!$C$18:$I$86,5,FALSE)</f>
        <v>11.13</v>
      </c>
      <c r="G51" s="62" t="e">
        <f>VLOOKUP($B51,'длина 2 '!$C$16:$O$54,11,FALSE)</f>
        <v>#N/A</v>
      </c>
      <c r="H51" s="62" t="e">
        <f>VLOOKUP($B51,'ядро 2'!$C$16:$K$60,8,FALSE)</f>
        <v>#N/A</v>
      </c>
      <c r="I51" s="62" t="e">
        <f>VLOOKUP($B51,'высота 2'!$C$16:$AF$57,23,FALSE)</f>
        <v>#N/A</v>
      </c>
      <c r="J51" s="62" t="e">
        <f>VLOOKUP($B51,'4_р'!$C$17:$H$73,5,FALSE)</f>
        <v>#N/A</v>
      </c>
      <c r="K51" s="62" t="e">
        <f>VLOOKUP($B51,'1cб_р'!$C$17:$I$63,5,FALSE)</f>
        <v>#N/A</v>
      </c>
      <c r="L51" s="62" t="e">
        <f>VLOOKUP($B51,Дс_р!$C$16:$K$70,8,FALSE)</f>
        <v>#N/A</v>
      </c>
      <c r="M51" s="62" t="e">
        <f>VLOOKUP($B51,Ш_р!$C$15:$AF$69,17,FALSE)</f>
        <v>#N/A</v>
      </c>
      <c r="N51" s="62" t="e">
        <f>VLOOKUP($B51,К_р!$C$15:$K$68,8,FALSE)</f>
        <v>#N/A</v>
      </c>
      <c r="O51" s="70" t="e">
        <f>VLOOKUP($B51,'15_р'!$C$17:$H$86,5,FALSE)</f>
        <v>#N/A</v>
      </c>
      <c r="P51" s="97" t="e">
        <f>SUM(F53:O53)</f>
        <v>#N/A</v>
      </c>
      <c r="Q51" s="35" t="e">
        <f>LOOKUP(P51,$V$1:$V$7,$W$1:$W$7)</f>
        <v>#N/A</v>
      </c>
      <c r="R51" s="35"/>
      <c r="S51" s="31" t="e">
        <f>$A51</f>
        <v>#N/A</v>
      </c>
      <c r="T51" s="31">
        <v>1</v>
      </c>
      <c r="U51" s="83"/>
      <c r="V51" s="78"/>
      <c r="W51" s="78"/>
      <c r="X51" s="78"/>
      <c r="Y51" s="78"/>
      <c r="Z51" s="78"/>
      <c r="AA51" s="78"/>
      <c r="AB51" s="79"/>
      <c r="AC51" s="79"/>
      <c r="AD51" s="79"/>
      <c r="AF51" s="35"/>
      <c r="AG51" s="35"/>
      <c r="AI51" s="35"/>
    </row>
    <row r="52" spans="1:35" s="60" customFormat="1" ht="13.5" customHeight="1" x14ac:dyDescent="0.35">
      <c r="A52" s="35"/>
      <c r="B52" s="35"/>
      <c r="C52" s="66" t="str">
        <f>VLOOKUP(B51,Уч!$A$2:$L$26,5,FALSE)</f>
        <v xml:space="preserve">Волгоградская область  </v>
      </c>
      <c r="D52" s="107" t="str">
        <f>VLOOKUP(B51,Уч!$A$2:$L$26,4,FALSE)</f>
        <v>КМС</v>
      </c>
      <c r="E52" s="33" t="s">
        <v>97</v>
      </c>
      <c r="F52" s="68">
        <f>VLOOKUP($B51,'100 м 1'!$C$18:$I$86,6,FALSE)</f>
        <v>0</v>
      </c>
      <c r="G52" s="69" t="e">
        <f>VLOOKUP($B51,'длина 2 '!$C$16:$O$54,12,FALSE)</f>
        <v>#N/A</v>
      </c>
      <c r="H52" s="70"/>
      <c r="I52" s="69"/>
      <c r="J52" s="69"/>
      <c r="K52" s="69" t="e">
        <f>VLOOKUP($B51,'1cб_р'!$C$17:$I$63,6,FALSE)</f>
        <v>#N/A</v>
      </c>
      <c r="L52" s="69"/>
      <c r="M52" s="69"/>
      <c r="N52" s="70"/>
      <c r="O52" s="70"/>
      <c r="P52" s="97"/>
      <c r="Q52" s="80"/>
      <c r="R52" s="63"/>
      <c r="S52" s="31" t="e">
        <f>$A51</f>
        <v>#N/A</v>
      </c>
      <c r="T52" s="31">
        <v>2</v>
      </c>
      <c r="U52" s="83"/>
      <c r="V52" s="78"/>
      <c r="W52" s="78"/>
      <c r="X52" s="78"/>
      <c r="Y52" s="78"/>
      <c r="Z52" s="78"/>
      <c r="AA52" s="78"/>
      <c r="AB52" s="79"/>
      <c r="AC52" s="79"/>
      <c r="AD52" s="79"/>
      <c r="AF52" s="35"/>
      <c r="AG52" s="35"/>
      <c r="AI52" s="35"/>
    </row>
    <row r="53" spans="1:35" s="60" customFormat="1" ht="13.5" customHeight="1" x14ac:dyDescent="0.35">
      <c r="A53" s="35"/>
      <c r="B53" s="35"/>
      <c r="C53" s="67" t="str">
        <f>VLOOKUP(B51,Уч!$A$2:$L$26,7,FALSE)</f>
        <v>ГБУ ВО "СШОР по легкой атлетике", ГАПОУ ВО "УОР имени дважды Героя Советского Союза А.И.Родимцева"</v>
      </c>
      <c r="D53" s="107"/>
      <c r="E53" s="33" t="s">
        <v>77</v>
      </c>
      <c r="F53" s="72">
        <f>VLOOKUP($B51,'100 м 1'!$C$18:$I$86,7,FALSE)</f>
        <v>832</v>
      </c>
      <c r="G53" s="70" t="e">
        <f>VLOOKUP($B51,'длина 2 '!$C$16:$O$54,13,FALSE)</f>
        <v>#N/A</v>
      </c>
      <c r="H53" s="70" t="e">
        <f>VLOOKUP($B51,'ядро 2'!$C$16:$K$60,9,FALSE)</f>
        <v>#N/A</v>
      </c>
      <c r="I53" s="70" t="e">
        <f>VLOOKUP($B51,'высота 2'!$C$16:$AF$57,24,)</f>
        <v>#N/A</v>
      </c>
      <c r="J53" s="70" t="e">
        <f>VLOOKUP($B51,'4_р'!$C$17:$H$73,6,FALSE)</f>
        <v>#N/A</v>
      </c>
      <c r="K53" s="70" t="e">
        <f>VLOOKUP($B51,'1cб_р'!$C$17:$I$63,7,FALSE)</f>
        <v>#N/A</v>
      </c>
      <c r="L53" s="70" t="e">
        <f>VLOOKUP($B51,Дс_р!$C$16:$K$70,9,FALSE)</f>
        <v>#N/A</v>
      </c>
      <c r="M53" s="70" t="e">
        <f>VLOOKUP($B51,Ш_р!$C$15:$AF$69,18,FALSE)</f>
        <v>#N/A</v>
      </c>
      <c r="N53" s="70" t="e">
        <f>VLOOKUP($B51,К_р!$C$15:$K$68,9,FALSE)</f>
        <v>#N/A</v>
      </c>
      <c r="O53" s="70" t="e">
        <f>VLOOKUP($B51,'15_р'!$C$17:$H$86,6,FALSE)</f>
        <v>#N/A</v>
      </c>
      <c r="P53" s="97"/>
      <c r="Q53" s="80"/>
      <c r="R53" s="63"/>
      <c r="S53" s="31" t="e">
        <f>$A51</f>
        <v>#N/A</v>
      </c>
      <c r="T53" s="31">
        <v>3</v>
      </c>
      <c r="U53" s="83"/>
      <c r="V53" s="78"/>
      <c r="W53" s="78"/>
      <c r="X53" s="78"/>
      <c r="Y53" s="78"/>
      <c r="Z53" s="78"/>
      <c r="AA53" s="78"/>
      <c r="AB53" s="79"/>
      <c r="AC53" s="79"/>
      <c r="AD53" s="79"/>
      <c r="AF53" s="35"/>
      <c r="AG53" s="35"/>
      <c r="AI53" s="35"/>
    </row>
    <row r="54" spans="1:35" s="60" customFormat="1" ht="13.5" customHeight="1" x14ac:dyDescent="0.35">
      <c r="A54" s="35"/>
      <c r="B54" s="35"/>
      <c r="C54" s="66" t="str">
        <f>VLOOKUP(B51,Уч!$A$2:$L$26,11,FALSE)</f>
        <v>Зацеляпин М.И., Мельников Е.С., Кайдалин В.С., Трофимов Е.В.</v>
      </c>
      <c r="D54" s="107"/>
      <c r="E54" s="33" t="s">
        <v>98</v>
      </c>
      <c r="F54" s="72">
        <f>F53</f>
        <v>832</v>
      </c>
      <c r="G54" s="70" t="e">
        <f>F54+G53</f>
        <v>#N/A</v>
      </c>
      <c r="H54" s="70" t="e">
        <f>G54+H53</f>
        <v>#N/A</v>
      </c>
      <c r="I54" s="70" t="e">
        <f>H54+I53</f>
        <v>#N/A</v>
      </c>
      <c r="J54" s="70" t="e">
        <f>SUM($F53:J53)</f>
        <v>#N/A</v>
      </c>
      <c r="K54" s="70" t="e">
        <f>SUM($F53:$K53)</f>
        <v>#N/A</v>
      </c>
      <c r="L54" s="70" t="e">
        <f>K54+L53</f>
        <v>#N/A</v>
      </c>
      <c r="M54" s="70" t="e">
        <f>L54+M53</f>
        <v>#N/A</v>
      </c>
      <c r="N54" s="70" t="e">
        <f>SUM($F53:$N53)</f>
        <v>#N/A</v>
      </c>
      <c r="O54" s="70" t="e">
        <f>SUM($F53:$O53)</f>
        <v>#N/A</v>
      </c>
      <c r="P54" s="97"/>
      <c r="Q54" s="80"/>
      <c r="R54" s="63"/>
      <c r="S54" s="31" t="e">
        <f>$A51</f>
        <v>#N/A</v>
      </c>
      <c r="T54" s="31">
        <v>4</v>
      </c>
      <c r="U54" s="63">
        <f t="shared" ref="U54:AD54" si="7">F54</f>
        <v>832</v>
      </c>
      <c r="V54" s="63" t="e">
        <f t="shared" si="7"/>
        <v>#N/A</v>
      </c>
      <c r="W54" s="63" t="e">
        <f t="shared" si="7"/>
        <v>#N/A</v>
      </c>
      <c r="X54" s="63" t="e">
        <f t="shared" si="7"/>
        <v>#N/A</v>
      </c>
      <c r="Y54" s="63" t="e">
        <f t="shared" si="7"/>
        <v>#N/A</v>
      </c>
      <c r="Z54" s="63" t="e">
        <f t="shared" si="7"/>
        <v>#N/A</v>
      </c>
      <c r="AA54" s="63" t="e">
        <f t="shared" si="7"/>
        <v>#N/A</v>
      </c>
      <c r="AB54" s="63" t="e">
        <f t="shared" si="7"/>
        <v>#N/A</v>
      </c>
      <c r="AC54" s="63" t="e">
        <f t="shared" si="7"/>
        <v>#N/A</v>
      </c>
      <c r="AD54" s="63" t="e">
        <f t="shared" si="7"/>
        <v>#N/A</v>
      </c>
      <c r="AF54" s="35"/>
      <c r="AG54" s="35"/>
      <c r="AI54" s="35"/>
    </row>
    <row r="55" spans="1:35" s="60" customFormat="1" ht="13.5" customHeight="1" thickBot="1" x14ac:dyDescent="0.4">
      <c r="A55" s="73"/>
      <c r="B55" s="73"/>
      <c r="C55" s="74">
        <f>VLOOKUP(B51,Уч!$A$2:$L$26,12,FALSE)</f>
        <v>0</v>
      </c>
      <c r="D55" s="108"/>
      <c r="E55" s="43" t="s">
        <v>37</v>
      </c>
      <c r="F55" s="75" t="e">
        <f>RANK(F54,$U$19:$U$165,0)</f>
        <v>#N/A</v>
      </c>
      <c r="G55" s="76" t="e">
        <f>RANK(G54,$V$19:$V$165,0)</f>
        <v>#N/A</v>
      </c>
      <c r="H55" s="76" t="e">
        <f>RANK(H54,$W$19:$W$165,0)</f>
        <v>#N/A</v>
      </c>
      <c r="I55" s="76" t="e">
        <f>RANK(I54,$X$19:$X$165,0)</f>
        <v>#N/A</v>
      </c>
      <c r="J55" s="76" t="e">
        <f>RANK(J54,$Y$19:$Y$165,0)</f>
        <v>#N/A</v>
      </c>
      <c r="K55" s="76" t="e">
        <f>RANK(K54,$Z$19:$Z$165,0)</f>
        <v>#N/A</v>
      </c>
      <c r="L55" s="76" t="e">
        <f>RANK(L54,$AA$19:$AA$165,0)</f>
        <v>#N/A</v>
      </c>
      <c r="M55" s="76" t="e">
        <f>RANK(M54,$AB$19:$AB$155,0)</f>
        <v>#N/A</v>
      </c>
      <c r="N55" s="76" t="e">
        <f>RANK(N54,$AC$19:$AC$165,0)</f>
        <v>#N/A</v>
      </c>
      <c r="O55" s="76" t="e">
        <f>RANK(O54,$AD$19:$AD$165,0)</f>
        <v>#N/A</v>
      </c>
      <c r="P55" s="98"/>
      <c r="Q55" s="81"/>
      <c r="R55" s="77"/>
      <c r="S55" s="31" t="e">
        <f>$A51</f>
        <v>#N/A</v>
      </c>
      <c r="T55" s="31">
        <v>5</v>
      </c>
      <c r="U55" s="83"/>
      <c r="V55" s="78"/>
      <c r="W55" s="78"/>
      <c r="X55" s="78"/>
      <c r="Y55" s="78"/>
      <c r="Z55" s="78"/>
      <c r="AA55" s="78"/>
      <c r="AB55" s="79"/>
      <c r="AC55" s="79"/>
      <c r="AD55" s="79"/>
      <c r="AF55" s="35"/>
      <c r="AG55" s="35"/>
      <c r="AI55" s="35"/>
    </row>
    <row r="56" spans="1:35" s="60" customFormat="1" ht="13.5" customHeight="1" thickTop="1" x14ac:dyDescent="0.35">
      <c r="A56" s="35" t="e">
        <f>RANK(P56,$P$16:$P$165,0)</f>
        <v>#N/A</v>
      </c>
      <c r="B56" s="35">
        <v>29</v>
      </c>
      <c r="C56" s="60" t="e">
        <f>VLOOKUP(B56,Уч!$A$2:$L$26,2,FALSE)</f>
        <v>#N/A</v>
      </c>
      <c r="D56" s="107" t="e">
        <f>VLOOKUP(B56,Уч!$A$2:$L$26,3,FALSE)</f>
        <v>#N/A</v>
      </c>
      <c r="E56" s="33" t="s">
        <v>28</v>
      </c>
      <c r="F56" s="61" t="e">
        <f>VLOOKUP($B56,'100 м 1'!$C$18:$I$86,5,FALSE)</f>
        <v>#N/A</v>
      </c>
      <c r="G56" s="62" t="e">
        <f>VLOOKUP($B56,'длина 2 '!$C$16:$O$54,11,FALSE)</f>
        <v>#N/A</v>
      </c>
      <c r="H56" s="62" t="e">
        <f>VLOOKUP($B56,'ядро 2'!$C$16:$K$60,8,FALSE)</f>
        <v>#N/A</v>
      </c>
      <c r="I56" s="62" t="e">
        <f>VLOOKUP($B56,'высота 2'!$C$16:$AF$57,23,FALSE)</f>
        <v>#N/A</v>
      </c>
      <c r="J56" s="62">
        <f>VLOOKUP($B56,'4_р'!$C$17:$H$73,5,FALSE)</f>
        <v>50.57</v>
      </c>
      <c r="K56" s="62">
        <f>VLOOKUP($B56,'1cб_р'!$C$17:$I$63,5,FALSE)</f>
        <v>14.69</v>
      </c>
      <c r="L56" s="62">
        <f>VLOOKUP($B56,Дс_р!$C$16:$K$70,8,FALSE)</f>
        <v>42.74</v>
      </c>
      <c r="M56" s="62">
        <f>VLOOKUP($B56,Ш_р!$C$15:$AF$69,17,FALSE)</f>
        <v>0</v>
      </c>
      <c r="N56" s="62">
        <f>VLOOKUP($B56,К_р!$C$15:$K$68,8,FALSE)</f>
        <v>0</v>
      </c>
      <c r="O56" s="70" t="e">
        <f>VLOOKUP($B56,'15_р'!$C$17:$H$86,5,FALSE)</f>
        <v>#N/A</v>
      </c>
      <c r="P56" s="97" t="e">
        <f>SUM(F58:O58)</f>
        <v>#N/A</v>
      </c>
      <c r="Q56" s="35" t="e">
        <f>LOOKUP(P56,$V$1:$V$7,$W$1:$W$7)</f>
        <v>#N/A</v>
      </c>
      <c r="R56" s="35"/>
      <c r="S56" s="31" t="e">
        <f>$A56</f>
        <v>#N/A</v>
      </c>
      <c r="T56" s="31">
        <v>1</v>
      </c>
      <c r="U56" s="83"/>
      <c r="V56" s="78"/>
      <c r="W56" s="78"/>
      <c r="X56" s="78"/>
      <c r="Y56" s="78"/>
      <c r="Z56" s="78"/>
      <c r="AA56" s="78"/>
      <c r="AB56" s="79"/>
      <c r="AC56" s="79"/>
      <c r="AD56" s="79"/>
    </row>
    <row r="57" spans="1:35" s="60" customFormat="1" ht="13.5" customHeight="1" x14ac:dyDescent="0.35">
      <c r="A57" s="35"/>
      <c r="B57" s="35"/>
      <c r="C57" s="66" t="e">
        <f>VLOOKUP(B56,Уч!$A$2:$L$26,5,FALSE)</f>
        <v>#N/A</v>
      </c>
      <c r="D57" s="109" t="e">
        <f>VLOOKUP(B56,Уч!$A$2:$L$26,4,FALSE)</f>
        <v>#N/A</v>
      </c>
      <c r="E57" s="33" t="s">
        <v>97</v>
      </c>
      <c r="F57" s="68" t="e">
        <f>VLOOKUP($B56,'100 м 1'!$C$18:$I$86,6,FALSE)</f>
        <v>#N/A</v>
      </c>
      <c r="G57" s="69" t="e">
        <f>VLOOKUP($B56,'длина 2 '!$C$16:$O$54,12,FALSE)</f>
        <v>#N/A</v>
      </c>
      <c r="H57" s="70"/>
      <c r="I57" s="69"/>
      <c r="J57" s="69"/>
      <c r="K57" s="69">
        <f>VLOOKUP($B56,'1cб_р'!$C$17:$I$63,6,FALSE)</f>
        <v>0</v>
      </c>
      <c r="L57" s="69"/>
      <c r="M57" s="69"/>
      <c r="N57" s="70"/>
      <c r="O57" s="70"/>
      <c r="P57" s="97"/>
      <c r="Q57" s="34"/>
      <c r="R57" s="63"/>
      <c r="S57" s="31" t="e">
        <f>$A56</f>
        <v>#N/A</v>
      </c>
      <c r="T57" s="31">
        <v>2</v>
      </c>
      <c r="U57" s="83"/>
      <c r="V57" s="78"/>
      <c r="W57" s="78"/>
      <c r="X57" s="78"/>
      <c r="Y57" s="78"/>
      <c r="Z57" s="78"/>
      <c r="AA57" s="78"/>
      <c r="AB57" s="79"/>
      <c r="AC57" s="79"/>
      <c r="AD57" s="79"/>
      <c r="AF57" s="35"/>
      <c r="AG57" s="35"/>
      <c r="AI57" s="35"/>
    </row>
    <row r="58" spans="1:35" s="60" customFormat="1" ht="13.5" customHeight="1" x14ac:dyDescent="0.35">
      <c r="A58" s="35"/>
      <c r="B58" s="35"/>
      <c r="C58" s="67" t="e">
        <f>VLOOKUP(B56,Уч!$A$2:$L$26,7,FALSE)</f>
        <v>#N/A</v>
      </c>
      <c r="D58" s="109"/>
      <c r="E58" s="33" t="s">
        <v>77</v>
      </c>
      <c r="F58" s="72" t="e">
        <f>VLOOKUP($B56,'100 м 1'!$C$18:$I$86,7,FALSE)</f>
        <v>#N/A</v>
      </c>
      <c r="G58" s="70" t="e">
        <f>VLOOKUP($B56,'длина 2 '!$C$16:$O$54,13,FALSE)</f>
        <v>#N/A</v>
      </c>
      <c r="H58" s="70" t="e">
        <f>VLOOKUP($B56,'ядро 2'!$C$16:$K$60,9,FALSE)</f>
        <v>#N/A</v>
      </c>
      <c r="I58" s="70" t="e">
        <f>VLOOKUP($B56,'высота 2'!$C$16:$AF$57,24,)</f>
        <v>#N/A</v>
      </c>
      <c r="J58" s="70">
        <f>VLOOKUP($B56,'4_р'!$C$17:$H$73,6,FALSE)</f>
        <v>789</v>
      </c>
      <c r="K58" s="70">
        <f>VLOOKUP($B56,'1cб_р'!$C$17:$I$63,7,FALSE)</f>
        <v>887</v>
      </c>
      <c r="L58" s="70">
        <f>VLOOKUP($B56,Дс_р!$C$16:$K$70,9,FALSE)</f>
        <v>720</v>
      </c>
      <c r="M58" s="70">
        <f>VLOOKUP($B56,Ш_р!$C$15:$AF$69,18,FALSE)</f>
        <v>0</v>
      </c>
      <c r="N58" s="70">
        <f>VLOOKUP($B56,К_р!$C$15:$K$68,9,FALSE)</f>
        <v>0</v>
      </c>
      <c r="O58" s="70" t="e">
        <f>VLOOKUP($B56,'15_р'!$C$17:$H$86,6,FALSE)</f>
        <v>#N/A</v>
      </c>
      <c r="P58" s="97"/>
      <c r="Q58" s="34"/>
      <c r="R58" s="63"/>
      <c r="S58" s="31" t="e">
        <f>$A56</f>
        <v>#N/A</v>
      </c>
      <c r="T58" s="31">
        <v>3</v>
      </c>
      <c r="U58" s="83"/>
      <c r="V58" s="78"/>
      <c r="W58" s="78"/>
      <c r="X58" s="78"/>
      <c r="Y58" s="78"/>
      <c r="Z58" s="78"/>
      <c r="AA58" s="78"/>
      <c r="AB58" s="79"/>
      <c r="AC58" s="79"/>
      <c r="AD58" s="79"/>
      <c r="AF58" s="35"/>
      <c r="AG58" s="35"/>
      <c r="AI58" s="35"/>
    </row>
    <row r="59" spans="1:35" s="60" customFormat="1" ht="13.5" customHeight="1" x14ac:dyDescent="0.35">
      <c r="A59" s="35"/>
      <c r="B59" s="35"/>
      <c r="C59" s="66" t="e">
        <f>VLOOKUP(B56,Уч!$A$2:$L$26,11,FALSE)</f>
        <v>#N/A</v>
      </c>
      <c r="D59" s="109"/>
      <c r="E59" s="33" t="s">
        <v>98</v>
      </c>
      <c r="F59" s="72" t="e">
        <f>F58</f>
        <v>#N/A</v>
      </c>
      <c r="G59" s="70" t="e">
        <f>F59+G58</f>
        <v>#N/A</v>
      </c>
      <c r="H59" s="70" t="e">
        <f>G59+H58</f>
        <v>#N/A</v>
      </c>
      <c r="I59" s="70" t="e">
        <f>H59+I58</f>
        <v>#N/A</v>
      </c>
      <c r="J59" s="70" t="e">
        <f>SUM($F58:J58)</f>
        <v>#N/A</v>
      </c>
      <c r="K59" s="70" t="e">
        <f>SUM($F58:$K58)</f>
        <v>#N/A</v>
      </c>
      <c r="L59" s="70" t="e">
        <f>K59+L58</f>
        <v>#N/A</v>
      </c>
      <c r="M59" s="70" t="e">
        <f>L59+M58</f>
        <v>#N/A</v>
      </c>
      <c r="N59" s="70" t="e">
        <f>SUM($F58:$N58)</f>
        <v>#N/A</v>
      </c>
      <c r="O59" s="70" t="e">
        <f>SUM($F58:$O58)</f>
        <v>#N/A</v>
      </c>
      <c r="P59" s="97"/>
      <c r="Q59" s="34"/>
      <c r="R59" s="63"/>
      <c r="S59" s="31" t="e">
        <f>$A56</f>
        <v>#N/A</v>
      </c>
      <c r="T59" s="31">
        <v>4</v>
      </c>
      <c r="U59" s="63" t="e">
        <f t="shared" ref="U59:AD59" si="8">F59</f>
        <v>#N/A</v>
      </c>
      <c r="V59" s="63" t="e">
        <f t="shared" si="8"/>
        <v>#N/A</v>
      </c>
      <c r="W59" s="63" t="e">
        <f t="shared" si="8"/>
        <v>#N/A</v>
      </c>
      <c r="X59" s="63" t="e">
        <f t="shared" si="8"/>
        <v>#N/A</v>
      </c>
      <c r="Y59" s="63" t="e">
        <f t="shared" si="8"/>
        <v>#N/A</v>
      </c>
      <c r="Z59" s="63" t="e">
        <f t="shared" si="8"/>
        <v>#N/A</v>
      </c>
      <c r="AA59" s="63" t="e">
        <f t="shared" si="8"/>
        <v>#N/A</v>
      </c>
      <c r="AB59" s="63" t="e">
        <f t="shared" si="8"/>
        <v>#N/A</v>
      </c>
      <c r="AC59" s="63" t="e">
        <f t="shared" si="8"/>
        <v>#N/A</v>
      </c>
      <c r="AD59" s="63" t="e">
        <f t="shared" si="8"/>
        <v>#N/A</v>
      </c>
      <c r="AF59" s="35"/>
      <c r="AG59" s="35"/>
      <c r="AI59" s="35"/>
    </row>
    <row r="60" spans="1:35" s="60" customFormat="1" ht="13.5" customHeight="1" thickBot="1" x14ac:dyDescent="0.4">
      <c r="A60" s="73"/>
      <c r="B60" s="73"/>
      <c r="C60" s="74" t="e">
        <f>VLOOKUP(B56,Уч!$A$2:$L$26,12,FALSE)</f>
        <v>#N/A</v>
      </c>
      <c r="D60" s="110"/>
      <c r="E60" s="43" t="s">
        <v>37</v>
      </c>
      <c r="F60" s="75" t="e">
        <f>RANK(F59,$U$19:$U$165,0)</f>
        <v>#N/A</v>
      </c>
      <c r="G60" s="76" t="e">
        <f>RANK(G59,$V$19:$V$165,0)</f>
        <v>#N/A</v>
      </c>
      <c r="H60" s="76" t="e">
        <f>RANK(H59,$W$19:$W$165,0)</f>
        <v>#N/A</v>
      </c>
      <c r="I60" s="76" t="e">
        <f>RANK(I59,$X$19:$X$165,0)</f>
        <v>#N/A</v>
      </c>
      <c r="J60" s="76" t="e">
        <f>RANK(J59,$Y$19:$Y$165,0)</f>
        <v>#N/A</v>
      </c>
      <c r="K60" s="76" t="e">
        <f>RANK(K59,$Z$19:$Z$165,0)</f>
        <v>#N/A</v>
      </c>
      <c r="L60" s="76" t="e">
        <f>RANK(L59,$AA$19:$AA$165,0)</f>
        <v>#N/A</v>
      </c>
      <c r="M60" s="76" t="e">
        <f>RANK(M59,$AB$19:$AB$155,0)</f>
        <v>#N/A</v>
      </c>
      <c r="N60" s="76" t="e">
        <f>RANK(N59,$AC$19:$AC$165,0)</f>
        <v>#N/A</v>
      </c>
      <c r="O60" s="76" t="e">
        <f>RANK(O59,$AD$19:$AD$165,0)</f>
        <v>#N/A</v>
      </c>
      <c r="P60" s="98"/>
      <c r="Q60" s="81"/>
      <c r="R60" s="77"/>
      <c r="S60" s="31" t="e">
        <f>$A56</f>
        <v>#N/A</v>
      </c>
      <c r="T60" s="31">
        <v>5</v>
      </c>
      <c r="U60" s="83"/>
      <c r="V60" s="78"/>
      <c r="W60" s="78"/>
      <c r="X60" s="78"/>
      <c r="Y60" s="78"/>
      <c r="Z60" s="78"/>
      <c r="AA60" s="78"/>
      <c r="AB60" s="79"/>
      <c r="AC60" s="79"/>
      <c r="AD60" s="79"/>
      <c r="AF60" s="35"/>
      <c r="AG60" s="35"/>
      <c r="AI60" s="35"/>
    </row>
    <row r="61" spans="1:35" s="60" customFormat="1" ht="13.5" customHeight="1" thickTop="1" x14ac:dyDescent="0.35">
      <c r="A61" s="35" t="e">
        <f>RANK(P61,$P$16:$P$165,0)</f>
        <v>#N/A</v>
      </c>
      <c r="B61" s="35">
        <v>88</v>
      </c>
      <c r="C61" s="60" t="str">
        <f>VLOOKUP(B61,Уч!$A$2:$L$26,2,FALSE)</f>
        <v>Башаев Никита</v>
      </c>
      <c r="D61" s="107" t="str">
        <f>VLOOKUP(B61,Уч!$A$2:$L$26,3,FALSE)</f>
        <v>19.07.1997</v>
      </c>
      <c r="E61" s="33" t="s">
        <v>28</v>
      </c>
      <c r="F61" s="61">
        <f>VLOOKUP($B61,'100 м 1'!$C$18:$I$86,5,FALSE)</f>
        <v>11.22</v>
      </c>
      <c r="G61" s="62">
        <f>VLOOKUP($B61,'длина 2 '!$C$16:$O$54,11,FALSE)</f>
        <v>6.77</v>
      </c>
      <c r="H61" s="62">
        <f>VLOOKUP($B61,'ядро 2'!$C$16:$K$60,8,FALSE)</f>
        <v>12.3</v>
      </c>
      <c r="I61" s="62">
        <f>VLOOKUP($B61,'высота 2'!$C$16:$AF$57,23,FALSE)</f>
        <v>0</v>
      </c>
      <c r="J61" s="62" t="e">
        <f>VLOOKUP($B61,'4_р'!$C$17:$H$73,5,FALSE)</f>
        <v>#N/A</v>
      </c>
      <c r="K61" s="62" t="e">
        <f>VLOOKUP($B61,'1cб_р'!$C$17:$I$63,5,FALSE)</f>
        <v>#N/A</v>
      </c>
      <c r="L61" s="62" t="e">
        <f>VLOOKUP($B61,Дс_р!$C$16:$K$70,8,FALSE)</f>
        <v>#N/A</v>
      </c>
      <c r="M61" s="62" t="e">
        <f>VLOOKUP($B61,Ш_р!$C$15:$AF$69,17,FALSE)</f>
        <v>#N/A</v>
      </c>
      <c r="N61" s="62" t="e">
        <f>VLOOKUP($B61,К_р!$C$15:$K$68,8,FALSE)</f>
        <v>#N/A</v>
      </c>
      <c r="O61" s="70" t="e">
        <f>VLOOKUP($B61,'15_р'!$C$17:$H$86,5,FALSE)</f>
        <v>#N/A</v>
      </c>
      <c r="P61" s="97" t="e">
        <f>SUM(F63:O63)</f>
        <v>#N/A</v>
      </c>
      <c r="Q61" s="35" t="e">
        <f>LOOKUP(P61,$V$1:$V$7,$W$1:$W$7)</f>
        <v>#N/A</v>
      </c>
      <c r="R61" s="35"/>
      <c r="S61" s="31" t="e">
        <f>$A61</f>
        <v>#N/A</v>
      </c>
      <c r="T61" s="31">
        <v>1</v>
      </c>
      <c r="U61" s="83"/>
      <c r="V61" s="78"/>
      <c r="W61" s="78"/>
      <c r="X61" s="78"/>
      <c r="Y61" s="78"/>
      <c r="Z61" s="78"/>
      <c r="AA61" s="78"/>
      <c r="AB61" s="79"/>
      <c r="AC61" s="79"/>
      <c r="AD61" s="79"/>
      <c r="AF61" s="35"/>
      <c r="AG61" s="35"/>
      <c r="AI61" s="35"/>
    </row>
    <row r="62" spans="1:35" s="60" customFormat="1" ht="13.5" customHeight="1" x14ac:dyDescent="0.35">
      <c r="A62" s="35"/>
      <c r="B62" s="35"/>
      <c r="C62" s="66" t="str">
        <f>VLOOKUP(B61,Уч!$A$2:$L$26,5,FALSE)</f>
        <v xml:space="preserve">Челябинская область  </v>
      </c>
      <c r="D62" s="107" t="str">
        <f>VLOOKUP(B61,Уч!$A$2:$L$26,4,FALSE)</f>
        <v>КМС</v>
      </c>
      <c r="E62" s="33" t="s">
        <v>97</v>
      </c>
      <c r="F62" s="68">
        <f>VLOOKUP($B61,'100 м 1'!$C$18:$I$86,6,FALSE)</f>
        <v>0.8</v>
      </c>
      <c r="G62" s="69">
        <f>VLOOKUP($B61,'длина 2 '!$C$16:$O$54,12,FALSE)</f>
        <v>0.1</v>
      </c>
      <c r="H62" s="70"/>
      <c r="I62" s="69"/>
      <c r="J62" s="69"/>
      <c r="K62" s="69" t="e">
        <f>VLOOKUP($B61,'1cб_р'!$C$17:$I$63,6,FALSE)</f>
        <v>#N/A</v>
      </c>
      <c r="L62" s="69"/>
      <c r="M62" s="69"/>
      <c r="N62" s="70"/>
      <c r="O62" s="70"/>
      <c r="P62" s="97"/>
      <c r="Q62" s="80"/>
      <c r="R62" s="63"/>
      <c r="S62" s="31" t="e">
        <f>$A61</f>
        <v>#N/A</v>
      </c>
      <c r="T62" s="31">
        <v>2</v>
      </c>
      <c r="U62" s="83"/>
      <c r="V62" s="78"/>
      <c r="W62" s="78"/>
      <c r="X62" s="78"/>
      <c r="Y62" s="78"/>
      <c r="Z62" s="78"/>
      <c r="AA62" s="78"/>
      <c r="AB62" s="79"/>
      <c r="AC62" s="79"/>
      <c r="AD62" s="79"/>
      <c r="AF62" s="35"/>
      <c r="AG62" s="35"/>
      <c r="AI62" s="35"/>
    </row>
    <row r="63" spans="1:35" s="60" customFormat="1" ht="13.5" customHeight="1" x14ac:dyDescent="0.35">
      <c r="A63" s="35"/>
      <c r="B63" s="35"/>
      <c r="C63" s="67" t="str">
        <f>VLOOKUP(B61,Уч!$A$2:$L$26,7,FALSE)</f>
        <v>МБУ СШОР № 2 по легкой атлетике имени Л.Н.Мосеева г.Челябинск</v>
      </c>
      <c r="D63" s="107"/>
      <c r="E63" s="33" t="s">
        <v>77</v>
      </c>
      <c r="F63" s="72">
        <f>VLOOKUP($B61,'100 м 1'!$C$18:$I$86,7,FALSE)</f>
        <v>812</v>
      </c>
      <c r="G63" s="70">
        <f>VLOOKUP($B61,'длина 2 '!$C$16:$O$54,13,FALSE)</f>
        <v>0</v>
      </c>
      <c r="H63" s="70">
        <f>VLOOKUP($B61,'ядро 2'!$C$16:$K$60,9,FALSE)</f>
        <v>625</v>
      </c>
      <c r="I63" s="70">
        <f>VLOOKUP($B61,'высота 2'!$C$16:$AF$57,24,)</f>
        <v>0</v>
      </c>
      <c r="J63" s="70" t="e">
        <f>VLOOKUP($B61,'4_р'!$C$17:$H$73,6,FALSE)</f>
        <v>#N/A</v>
      </c>
      <c r="K63" s="70" t="e">
        <f>VLOOKUP($B61,'1cб_р'!$C$17:$I$63,7,FALSE)</f>
        <v>#N/A</v>
      </c>
      <c r="L63" s="70" t="e">
        <f>VLOOKUP($B61,Дс_р!$C$16:$K$70,9,FALSE)</f>
        <v>#N/A</v>
      </c>
      <c r="M63" s="70" t="e">
        <f>VLOOKUP($B61,Ш_р!$C$15:$AF$69,18,FALSE)</f>
        <v>#N/A</v>
      </c>
      <c r="N63" s="70" t="e">
        <f>VLOOKUP($B61,К_р!$C$15:$K$68,9,FALSE)</f>
        <v>#N/A</v>
      </c>
      <c r="O63" s="70" t="e">
        <f>VLOOKUP($B61,'15_р'!$C$17:$H$86,6,FALSE)</f>
        <v>#N/A</v>
      </c>
      <c r="P63" s="97"/>
      <c r="Q63" s="80"/>
      <c r="R63" s="63"/>
      <c r="S63" s="31" t="e">
        <f>$A61</f>
        <v>#N/A</v>
      </c>
      <c r="T63" s="31">
        <v>3</v>
      </c>
      <c r="U63" s="83"/>
      <c r="V63" s="78"/>
      <c r="W63" s="78"/>
      <c r="X63" s="78"/>
      <c r="Y63" s="78"/>
      <c r="Z63" s="78"/>
      <c r="AA63" s="78"/>
      <c r="AB63" s="79"/>
      <c r="AC63" s="79"/>
      <c r="AD63" s="79"/>
      <c r="AF63" s="35"/>
      <c r="AG63" s="35"/>
      <c r="AI63" s="35"/>
    </row>
    <row r="64" spans="1:35" s="60" customFormat="1" ht="13.5" customHeight="1" x14ac:dyDescent="0.35">
      <c r="A64" s="35"/>
      <c r="B64" s="35"/>
      <c r="C64" s="66" t="str">
        <f>VLOOKUP(B61,Уч!$A$2:$L$26,11,FALSE)</f>
        <v>Пугач С.В., Свистун В.В.</v>
      </c>
      <c r="D64" s="107"/>
      <c r="E64" s="33" t="s">
        <v>98</v>
      </c>
      <c r="F64" s="72">
        <f>F63</f>
        <v>812</v>
      </c>
      <c r="G64" s="70">
        <f>F64+G63</f>
        <v>812</v>
      </c>
      <c r="H64" s="70">
        <f>G64+H63</f>
        <v>1437</v>
      </c>
      <c r="I64" s="70">
        <f>H64+I63</f>
        <v>1437</v>
      </c>
      <c r="J64" s="70" t="e">
        <f>SUM($F63:J63)</f>
        <v>#N/A</v>
      </c>
      <c r="K64" s="70" t="e">
        <f>SUM($F63:$K63)</f>
        <v>#N/A</v>
      </c>
      <c r="L64" s="70" t="e">
        <f>K64+L63</f>
        <v>#N/A</v>
      </c>
      <c r="M64" s="70" t="e">
        <f>L64+M63</f>
        <v>#N/A</v>
      </c>
      <c r="N64" s="70" t="e">
        <f>SUM($F63:$N63)</f>
        <v>#N/A</v>
      </c>
      <c r="O64" s="70" t="e">
        <f>SUM($F63:$O63)</f>
        <v>#N/A</v>
      </c>
      <c r="P64" s="97"/>
      <c r="Q64" s="80"/>
      <c r="R64" s="63"/>
      <c r="S64" s="31" t="e">
        <f>$A61</f>
        <v>#N/A</v>
      </c>
      <c r="T64" s="31">
        <v>4</v>
      </c>
      <c r="U64" s="63">
        <f t="shared" ref="U64:AD64" si="9">F64</f>
        <v>812</v>
      </c>
      <c r="V64" s="63">
        <f t="shared" si="9"/>
        <v>812</v>
      </c>
      <c r="W64" s="63">
        <f t="shared" si="9"/>
        <v>1437</v>
      </c>
      <c r="X64" s="63">
        <f t="shared" si="9"/>
        <v>1437</v>
      </c>
      <c r="Y64" s="63" t="e">
        <f t="shared" si="9"/>
        <v>#N/A</v>
      </c>
      <c r="Z64" s="63" t="e">
        <f t="shared" si="9"/>
        <v>#N/A</v>
      </c>
      <c r="AA64" s="63" t="e">
        <f t="shared" si="9"/>
        <v>#N/A</v>
      </c>
      <c r="AB64" s="63" t="e">
        <f t="shared" si="9"/>
        <v>#N/A</v>
      </c>
      <c r="AC64" s="63" t="e">
        <f t="shared" si="9"/>
        <v>#N/A</v>
      </c>
      <c r="AD64" s="63" t="e">
        <f t="shared" si="9"/>
        <v>#N/A</v>
      </c>
      <c r="AF64" s="35"/>
      <c r="AG64" s="35"/>
      <c r="AI64" s="35"/>
    </row>
    <row r="65" spans="1:35" s="60" customFormat="1" ht="13.5" customHeight="1" thickBot="1" x14ac:dyDescent="0.4">
      <c r="A65" s="73"/>
      <c r="B65" s="73"/>
      <c r="C65" s="74">
        <f>VLOOKUP(B61,Уч!$A$2:$L$26,12,FALSE)</f>
        <v>0</v>
      </c>
      <c r="D65" s="108"/>
      <c r="E65" s="43" t="s">
        <v>37</v>
      </c>
      <c r="F65" s="75" t="e">
        <f>RANK(F64,$U$19:$U$165,0)</f>
        <v>#N/A</v>
      </c>
      <c r="G65" s="76" t="e">
        <f>RANK(G64,$V$19:$V$165,0)</f>
        <v>#N/A</v>
      </c>
      <c r="H65" s="76" t="e">
        <f>RANK(H64,$W$19:$W$165,0)</f>
        <v>#N/A</v>
      </c>
      <c r="I65" s="76" t="e">
        <f>RANK(I64,$X$19:$X$165,0)</f>
        <v>#N/A</v>
      </c>
      <c r="J65" s="76" t="e">
        <f>RANK(J64,$Y$19:$Y$165,0)</f>
        <v>#N/A</v>
      </c>
      <c r="K65" s="76" t="e">
        <f>RANK(K64,$Z$19:$Z$165,0)</f>
        <v>#N/A</v>
      </c>
      <c r="L65" s="76" t="e">
        <f>RANK(L64,$AA$19:$AA$165,0)</f>
        <v>#N/A</v>
      </c>
      <c r="M65" s="76" t="e">
        <f>RANK(M64,$AB$19:$AB$155,0)</f>
        <v>#N/A</v>
      </c>
      <c r="N65" s="76" t="e">
        <f>RANK(N64,$AC$19:$AC$165,0)</f>
        <v>#N/A</v>
      </c>
      <c r="O65" s="76" t="e">
        <f>RANK(O64,$AD$19:$AD$165,0)</f>
        <v>#N/A</v>
      </c>
      <c r="P65" s="98"/>
      <c r="Q65" s="81"/>
      <c r="R65" s="77"/>
      <c r="S65" s="31" t="e">
        <f>$A61</f>
        <v>#N/A</v>
      </c>
      <c r="T65" s="31">
        <v>5</v>
      </c>
      <c r="U65" s="83"/>
      <c r="V65" s="78"/>
      <c r="W65" s="78"/>
      <c r="X65" s="78"/>
      <c r="Y65" s="78"/>
      <c r="Z65" s="78"/>
      <c r="AA65" s="78"/>
      <c r="AB65" s="79"/>
      <c r="AC65" s="79"/>
      <c r="AD65" s="79"/>
      <c r="AF65" s="35"/>
      <c r="AG65" s="35"/>
      <c r="AI65" s="35"/>
    </row>
    <row r="66" spans="1:35" s="60" customFormat="1" ht="13.5" customHeight="1" thickTop="1" x14ac:dyDescent="0.35">
      <c r="A66" s="35" t="e">
        <f>RANK(P66,$P$16:$P$165,0)</f>
        <v>#N/A</v>
      </c>
      <c r="B66" s="35">
        <v>15</v>
      </c>
      <c r="C66" s="60" t="e">
        <f>VLOOKUP(B66,Уч!$A$2:$L$26,2,FALSE)</f>
        <v>#N/A</v>
      </c>
      <c r="D66" s="107" t="e">
        <f>VLOOKUP(B66,Уч!$A$2:$L$26,3,FALSE)</f>
        <v>#N/A</v>
      </c>
      <c r="E66" s="33" t="s">
        <v>28</v>
      </c>
      <c r="F66" s="61" t="e">
        <f>VLOOKUP($B66,'100 м 1'!$C$18:$I$86,5,FALSE)</f>
        <v>#N/A</v>
      </c>
      <c r="G66" s="62" t="e">
        <f>VLOOKUP($B66,'длина 2 '!$C$16:$O$54,11,FALSE)</f>
        <v>#N/A</v>
      </c>
      <c r="H66" s="62" t="e">
        <f>VLOOKUP($B66,'ядро 2'!$C$16:$K$60,8,FALSE)</f>
        <v>#N/A</v>
      </c>
      <c r="I66" s="62" t="e">
        <f>VLOOKUP($B66,'высота 2'!$C$16:$AF$57,23,FALSE)</f>
        <v>#N/A</v>
      </c>
      <c r="J66" s="62" t="e">
        <f>VLOOKUP($B66,'4_р'!$C$17:$H$73,5,FALSE)</f>
        <v>#N/A</v>
      </c>
      <c r="K66" s="62" t="e">
        <f>VLOOKUP($B66,'1cб_р'!$C$17:$I$63,5,FALSE)</f>
        <v>#N/A</v>
      </c>
      <c r="L66" s="62" t="e">
        <f>VLOOKUP($B66,Дс_р!$C$16:$K$70,8,FALSE)</f>
        <v>#N/A</v>
      </c>
      <c r="M66" s="62" t="e">
        <f>VLOOKUP($B66,Ш_р!$C$15:$AF$69,17,FALSE)</f>
        <v>#N/A</v>
      </c>
      <c r="N66" s="62" t="e">
        <f>VLOOKUP($B66,К_р!$C$15:$K$68,8,FALSE)</f>
        <v>#N/A</v>
      </c>
      <c r="O66" s="70">
        <f>VLOOKUP($B66,'15_р'!$C$17:$H$86,5,FALSE)</f>
        <v>0</v>
      </c>
      <c r="P66" s="97" t="e">
        <f>SUM(F68:O68)</f>
        <v>#N/A</v>
      </c>
      <c r="Q66" s="35" t="e">
        <f>LOOKUP(P66,$V$1:$V$7,$W$1:$W$7)</f>
        <v>#N/A</v>
      </c>
      <c r="R66" s="35"/>
      <c r="S66" s="31" t="e">
        <f>$A66</f>
        <v>#N/A</v>
      </c>
      <c r="T66" s="31">
        <v>1</v>
      </c>
      <c r="U66" s="83"/>
      <c r="V66" s="78"/>
      <c r="W66" s="78"/>
      <c r="X66" s="78"/>
      <c r="Y66" s="78"/>
      <c r="Z66" s="78"/>
      <c r="AA66" s="78"/>
      <c r="AB66" s="79"/>
      <c r="AC66" s="79"/>
      <c r="AD66" s="79"/>
      <c r="AF66" s="35"/>
      <c r="AG66" s="35"/>
      <c r="AI66" s="35"/>
    </row>
    <row r="67" spans="1:35" s="60" customFormat="1" ht="13.5" customHeight="1" x14ac:dyDescent="0.35">
      <c r="A67" s="35"/>
      <c r="B67" s="35"/>
      <c r="C67" s="66" t="e">
        <f>VLOOKUP(B66,Уч!$A$2:$L$26,5,FALSE)</f>
        <v>#N/A</v>
      </c>
      <c r="D67" s="107" t="e">
        <f>VLOOKUP(B66,Уч!$A$2:$L$26,4,FALSE)</f>
        <v>#N/A</v>
      </c>
      <c r="E67" s="33" t="s">
        <v>97</v>
      </c>
      <c r="F67" s="68" t="e">
        <f>VLOOKUP($B66,'100 м 1'!$C$18:$I$86,6,FALSE)</f>
        <v>#N/A</v>
      </c>
      <c r="G67" s="69" t="e">
        <f>VLOOKUP($B66,'длина 2 '!$C$16:$O$54,12,FALSE)</f>
        <v>#N/A</v>
      </c>
      <c r="H67" s="70"/>
      <c r="I67" s="69"/>
      <c r="J67" s="69"/>
      <c r="K67" s="69" t="e">
        <f>VLOOKUP($B66,'1cб_р'!$C$17:$I$63,6,FALSE)</f>
        <v>#N/A</v>
      </c>
      <c r="L67" s="69"/>
      <c r="M67" s="69"/>
      <c r="N67" s="70"/>
      <c r="O67" s="70"/>
      <c r="P67" s="97"/>
      <c r="Q67" s="80"/>
      <c r="R67" s="63"/>
      <c r="S67" s="31" t="e">
        <f>$A66</f>
        <v>#N/A</v>
      </c>
      <c r="T67" s="31">
        <v>2</v>
      </c>
      <c r="U67" s="83"/>
      <c r="V67" s="78"/>
      <c r="W67" s="78"/>
      <c r="X67" s="78"/>
      <c r="Y67" s="78"/>
      <c r="Z67" s="78"/>
      <c r="AA67" s="78"/>
      <c r="AB67" s="79"/>
      <c r="AC67" s="79"/>
      <c r="AD67" s="79"/>
      <c r="AF67" s="35"/>
      <c r="AG67" s="35"/>
      <c r="AI67" s="35"/>
    </row>
    <row r="68" spans="1:35" s="60" customFormat="1" ht="13.5" customHeight="1" x14ac:dyDescent="0.35">
      <c r="A68" s="35"/>
      <c r="B68" s="35"/>
      <c r="C68" s="67" t="e">
        <f>VLOOKUP(B66,Уч!$A$2:$L$26,7,FALSE)</f>
        <v>#N/A</v>
      </c>
      <c r="D68" s="107"/>
      <c r="E68" s="33" t="s">
        <v>77</v>
      </c>
      <c r="F68" s="72" t="e">
        <f>VLOOKUP($B66,'100 м 1'!$C$18:$I$86,7,FALSE)</f>
        <v>#N/A</v>
      </c>
      <c r="G68" s="70" t="e">
        <f>VLOOKUP($B66,'длина 2 '!$C$16:$O$54,13,FALSE)</f>
        <v>#N/A</v>
      </c>
      <c r="H68" s="70" t="e">
        <f>VLOOKUP($B66,'ядро 2'!$C$16:$K$60,9,FALSE)</f>
        <v>#N/A</v>
      </c>
      <c r="I68" s="70" t="e">
        <f>VLOOKUP($B66,'высота 2'!$C$16:$AF$57,24,)</f>
        <v>#N/A</v>
      </c>
      <c r="J68" s="70" t="e">
        <f>VLOOKUP($B66,'4_р'!$C$17:$H$73,6,FALSE)</f>
        <v>#N/A</v>
      </c>
      <c r="K68" s="70" t="e">
        <f>VLOOKUP($B66,'1cб_р'!$C$17:$I$63,7,FALSE)</f>
        <v>#N/A</v>
      </c>
      <c r="L68" s="70" t="e">
        <f>VLOOKUP($B66,Дс_р!$C$16:$K$70,9,FALSE)</f>
        <v>#N/A</v>
      </c>
      <c r="M68" s="70" t="e">
        <f>VLOOKUP($B66,Ш_р!$C$15:$AF$69,18,FALSE)</f>
        <v>#N/A</v>
      </c>
      <c r="N68" s="70" t="e">
        <f>VLOOKUP($B66,К_р!$C$15:$K$68,9,FALSE)</f>
        <v>#N/A</v>
      </c>
      <c r="O68" s="70">
        <f>VLOOKUP($B66,'15_р'!$C$17:$H$86,6,FALSE)</f>
        <v>0</v>
      </c>
      <c r="P68" s="97"/>
      <c r="Q68" s="80"/>
      <c r="R68" s="63"/>
      <c r="S68" s="31" t="e">
        <f>$A66</f>
        <v>#N/A</v>
      </c>
      <c r="T68" s="31">
        <v>3</v>
      </c>
      <c r="U68" s="83"/>
      <c r="V68" s="78"/>
      <c r="W68" s="78"/>
      <c r="X68" s="78"/>
      <c r="Y68" s="78"/>
      <c r="Z68" s="78"/>
      <c r="AA68" s="78"/>
      <c r="AB68" s="79"/>
      <c r="AC68" s="79"/>
      <c r="AD68" s="79"/>
      <c r="AF68" s="35"/>
      <c r="AG68" s="35"/>
      <c r="AI68" s="35"/>
    </row>
    <row r="69" spans="1:35" s="60" customFormat="1" ht="13.5" customHeight="1" x14ac:dyDescent="0.35">
      <c r="A69" s="35"/>
      <c r="B69" s="35"/>
      <c r="C69" s="66" t="e">
        <f>VLOOKUP(B66,Уч!$A$2:$L$26,11,FALSE)</f>
        <v>#N/A</v>
      </c>
      <c r="D69" s="107"/>
      <c r="E69" s="33" t="s">
        <v>98</v>
      </c>
      <c r="F69" s="72" t="e">
        <f>F68</f>
        <v>#N/A</v>
      </c>
      <c r="G69" s="70" t="e">
        <f>F69+G68</f>
        <v>#N/A</v>
      </c>
      <c r="H69" s="70" t="e">
        <f>G69+H68</f>
        <v>#N/A</v>
      </c>
      <c r="I69" s="70" t="e">
        <f>H69+I68</f>
        <v>#N/A</v>
      </c>
      <c r="J69" s="70" t="e">
        <f>SUM($F68:J68)</f>
        <v>#N/A</v>
      </c>
      <c r="K69" s="70" t="e">
        <f>SUM($F68:$K68)</f>
        <v>#N/A</v>
      </c>
      <c r="L69" s="70" t="e">
        <f>K69+L68</f>
        <v>#N/A</v>
      </c>
      <c r="M69" s="70" t="e">
        <f>L69+M68</f>
        <v>#N/A</v>
      </c>
      <c r="N69" s="70" t="e">
        <f>SUM($F68:$N68)</f>
        <v>#N/A</v>
      </c>
      <c r="O69" s="70" t="e">
        <f>SUM($F68:$O68)</f>
        <v>#N/A</v>
      </c>
      <c r="P69" s="97"/>
      <c r="Q69" s="80"/>
      <c r="R69" s="63"/>
      <c r="S69" s="31" t="e">
        <f>$A66</f>
        <v>#N/A</v>
      </c>
      <c r="T69" s="31">
        <v>4</v>
      </c>
      <c r="U69" s="63" t="e">
        <f t="shared" ref="U69:AD69" si="10">F69</f>
        <v>#N/A</v>
      </c>
      <c r="V69" s="63" t="e">
        <f t="shared" si="10"/>
        <v>#N/A</v>
      </c>
      <c r="W69" s="63" t="e">
        <f t="shared" si="10"/>
        <v>#N/A</v>
      </c>
      <c r="X69" s="63" t="e">
        <f t="shared" si="10"/>
        <v>#N/A</v>
      </c>
      <c r="Y69" s="63" t="e">
        <f t="shared" si="10"/>
        <v>#N/A</v>
      </c>
      <c r="Z69" s="63" t="e">
        <f t="shared" si="10"/>
        <v>#N/A</v>
      </c>
      <c r="AA69" s="63" t="e">
        <f t="shared" si="10"/>
        <v>#N/A</v>
      </c>
      <c r="AB69" s="63" t="e">
        <f t="shared" si="10"/>
        <v>#N/A</v>
      </c>
      <c r="AC69" s="63" t="e">
        <f t="shared" si="10"/>
        <v>#N/A</v>
      </c>
      <c r="AD69" s="63" t="e">
        <f t="shared" si="10"/>
        <v>#N/A</v>
      </c>
      <c r="AF69" s="35"/>
      <c r="AG69" s="35"/>
      <c r="AI69" s="35"/>
    </row>
    <row r="70" spans="1:35" s="60" customFormat="1" ht="13.5" customHeight="1" thickBot="1" x14ac:dyDescent="0.4">
      <c r="A70" s="73"/>
      <c r="B70" s="73"/>
      <c r="C70" s="74" t="e">
        <f>VLOOKUP(B66,Уч!$A$2:$L$26,12,FALSE)</f>
        <v>#N/A</v>
      </c>
      <c r="D70" s="108"/>
      <c r="E70" s="43" t="s">
        <v>37</v>
      </c>
      <c r="F70" s="75" t="e">
        <f>RANK(F69,$U$19:$U$165,0)</f>
        <v>#N/A</v>
      </c>
      <c r="G70" s="76" t="e">
        <f>RANK(G69,$V$19:$V$165,0)</f>
        <v>#N/A</v>
      </c>
      <c r="H70" s="76" t="e">
        <f>RANK(H69,$W$19:$W$165,0)</f>
        <v>#N/A</v>
      </c>
      <c r="I70" s="76" t="e">
        <f>RANK(I69,$X$19:$X$165,0)</f>
        <v>#N/A</v>
      </c>
      <c r="J70" s="76" t="e">
        <f>RANK(J69,$Y$19:$Y$165,0)</f>
        <v>#N/A</v>
      </c>
      <c r="K70" s="76" t="e">
        <f>RANK(K69,$Z$19:$Z$165,0)</f>
        <v>#N/A</v>
      </c>
      <c r="L70" s="76" t="e">
        <f>RANK(L69,$AA$19:$AA$165,0)</f>
        <v>#N/A</v>
      </c>
      <c r="M70" s="76" t="e">
        <f>RANK(M69,$AB$19:$AB$155,0)</f>
        <v>#N/A</v>
      </c>
      <c r="N70" s="76" t="e">
        <f>RANK(N69,$AC$19:$AC$165,0)</f>
        <v>#N/A</v>
      </c>
      <c r="O70" s="76" t="e">
        <f>RANK(O69,$AD$19:$AD$165,0)</f>
        <v>#N/A</v>
      </c>
      <c r="P70" s="98"/>
      <c r="Q70" s="77"/>
      <c r="R70" s="77"/>
      <c r="S70" s="31" t="e">
        <f>$A66</f>
        <v>#N/A</v>
      </c>
      <c r="T70" s="31">
        <v>5</v>
      </c>
      <c r="U70" s="83"/>
      <c r="V70" s="78"/>
      <c r="W70" s="78"/>
      <c r="X70" s="78"/>
      <c r="Y70" s="78"/>
      <c r="Z70" s="78"/>
      <c r="AA70" s="78"/>
      <c r="AB70" s="79"/>
      <c r="AC70" s="79"/>
      <c r="AD70" s="79"/>
      <c r="AF70" s="35"/>
      <c r="AG70" s="35"/>
      <c r="AI70" s="35"/>
    </row>
    <row r="71" spans="1:35" s="60" customFormat="1" ht="13.5" customHeight="1" thickTop="1" x14ac:dyDescent="0.35">
      <c r="A71" s="35" t="e">
        <f>RANK(P71,$P$16:$P$165,0)</f>
        <v>#N/A</v>
      </c>
      <c r="B71" s="35">
        <v>89</v>
      </c>
      <c r="C71" s="60" t="e">
        <f>VLOOKUP(B71,Уч!$A$2:$L$26,2,FALSE)</f>
        <v>#N/A</v>
      </c>
      <c r="D71" s="107" t="e">
        <f>VLOOKUP(B71,Уч!$A$2:$L$26,3,FALSE)</f>
        <v>#N/A</v>
      </c>
      <c r="E71" s="33" t="s">
        <v>28</v>
      </c>
      <c r="F71" s="61">
        <f>VLOOKUP($B71,'100 м 1'!$C$18:$I$86,5,FALSE)</f>
        <v>11.89</v>
      </c>
      <c r="G71" s="62">
        <f>VLOOKUP($B71,'длина 2 '!$C$16:$O$54,11,FALSE)</f>
        <v>7.16</v>
      </c>
      <c r="H71" s="62">
        <f>VLOOKUP($B71,'ядро 2'!$C$16:$K$60,8,FALSE)</f>
        <v>12.7</v>
      </c>
      <c r="I71" s="62">
        <f>VLOOKUP($B71,'высота 2'!$C$16:$AF$57,23,FALSE)</f>
        <v>0</v>
      </c>
      <c r="J71" s="62" t="e">
        <f>VLOOKUP($B71,'4_р'!$C$17:$H$73,5,FALSE)</f>
        <v>#N/A</v>
      </c>
      <c r="K71" s="62" t="e">
        <f>VLOOKUP($B71,'1cб_р'!$C$17:$I$63,5,FALSE)</f>
        <v>#N/A</v>
      </c>
      <c r="L71" s="62" t="e">
        <f>VLOOKUP($B71,Дс_р!$C$16:$K$70,8,FALSE)</f>
        <v>#N/A</v>
      </c>
      <c r="M71" s="62" t="e">
        <f>VLOOKUP($B71,Ш_р!$C$15:$AF$69,17,FALSE)</f>
        <v>#N/A</v>
      </c>
      <c r="N71" s="62" t="e">
        <f>VLOOKUP($B71,К_р!$C$15:$K$68,8,FALSE)</f>
        <v>#N/A</v>
      </c>
      <c r="O71" s="70" t="e">
        <f>VLOOKUP($B71,'15_р'!$C$17:$H$86,5,FALSE)</f>
        <v>#N/A</v>
      </c>
      <c r="P71" s="97" t="e">
        <f>SUM(F73:O73)</f>
        <v>#N/A</v>
      </c>
      <c r="Q71" s="35" t="e">
        <f>LOOKUP(P71,$V$1:$V$7,$W$1:$W$7)</f>
        <v>#N/A</v>
      </c>
      <c r="R71" s="35"/>
      <c r="S71" s="31" t="e">
        <f>$A71</f>
        <v>#N/A</v>
      </c>
      <c r="T71" s="31">
        <v>1</v>
      </c>
      <c r="U71" s="83"/>
      <c r="V71" s="78"/>
      <c r="W71" s="78"/>
      <c r="X71" s="78"/>
      <c r="Y71" s="78"/>
      <c r="Z71" s="78"/>
      <c r="AA71" s="78"/>
      <c r="AB71" s="79"/>
      <c r="AC71" s="79"/>
      <c r="AD71" s="79"/>
      <c r="AF71" s="35"/>
      <c r="AG71" s="35"/>
      <c r="AI71" s="35"/>
    </row>
    <row r="72" spans="1:35" s="60" customFormat="1" ht="13.5" customHeight="1" x14ac:dyDescent="0.35">
      <c r="A72" s="35"/>
      <c r="B72" s="35"/>
      <c r="C72" s="66" t="e">
        <f>VLOOKUP(B71,Уч!$A$2:$L$26,5,FALSE)</f>
        <v>#N/A</v>
      </c>
      <c r="D72" s="107" t="e">
        <f>VLOOKUP(B71,Уч!$A$2:$L$26,4,FALSE)</f>
        <v>#N/A</v>
      </c>
      <c r="E72" s="33" t="s">
        <v>97</v>
      </c>
      <c r="F72" s="68">
        <f>VLOOKUP($B71,'100 м 1'!$C$18:$I$86,6,FALSE)</f>
        <v>2</v>
      </c>
      <c r="G72" s="69">
        <f>VLOOKUP($B71,'длина 2 '!$C$16:$O$54,12,FALSE)</f>
        <v>0.7</v>
      </c>
      <c r="H72" s="70"/>
      <c r="I72" s="69"/>
      <c r="J72" s="69"/>
      <c r="K72" s="69" t="e">
        <f>VLOOKUP($B71,'1cб_р'!$C$17:$I$63,6,FALSE)</f>
        <v>#N/A</v>
      </c>
      <c r="L72" s="69"/>
      <c r="M72" s="69"/>
      <c r="N72" s="70"/>
      <c r="O72" s="70"/>
      <c r="P72" s="97"/>
      <c r="Q72" s="63"/>
      <c r="R72" s="63"/>
      <c r="S72" s="31" t="e">
        <f>$A71</f>
        <v>#N/A</v>
      </c>
      <c r="T72" s="31">
        <v>2</v>
      </c>
      <c r="U72" s="83"/>
      <c r="V72" s="78"/>
      <c r="W72" s="78"/>
      <c r="X72" s="78"/>
      <c r="Y72" s="78"/>
      <c r="Z72" s="78"/>
      <c r="AA72" s="78"/>
      <c r="AB72" s="79"/>
      <c r="AC72" s="79"/>
      <c r="AD72" s="79"/>
      <c r="AF72" s="35"/>
      <c r="AG72" s="35"/>
      <c r="AI72" s="35"/>
    </row>
    <row r="73" spans="1:35" s="60" customFormat="1" ht="13.5" customHeight="1" x14ac:dyDescent="0.35">
      <c r="A73" s="35"/>
      <c r="B73" s="35"/>
      <c r="C73" s="67" t="e">
        <f>VLOOKUP(B71,Уч!$A$2:$L$26,7,FALSE)</f>
        <v>#N/A</v>
      </c>
      <c r="D73" s="107"/>
      <c r="E73" s="33" t="s">
        <v>77</v>
      </c>
      <c r="F73" s="72">
        <f>VLOOKUP($B71,'100 м 1'!$C$18:$I$86,7,FALSE)</f>
        <v>673</v>
      </c>
      <c r="G73" s="70">
        <f>VLOOKUP($B71,'длина 2 '!$C$16:$O$54,13,FALSE)</f>
        <v>0</v>
      </c>
      <c r="H73" s="70">
        <f>VLOOKUP($B71,'ядро 2'!$C$16:$K$60,9,FALSE)</f>
        <v>649</v>
      </c>
      <c r="I73" s="70">
        <f>VLOOKUP($B71,'высота 2'!$C$16:$AF$57,24,)</f>
        <v>0</v>
      </c>
      <c r="J73" s="70" t="e">
        <f>VLOOKUP($B71,'4_р'!$C$17:$H$73,6,FALSE)</f>
        <v>#N/A</v>
      </c>
      <c r="K73" s="70" t="e">
        <f>VLOOKUP($B71,'1cб_р'!$C$17:$I$63,7,FALSE)</f>
        <v>#N/A</v>
      </c>
      <c r="L73" s="70" t="e">
        <f>VLOOKUP($B71,Дс_р!$C$16:$K$70,9,FALSE)</f>
        <v>#N/A</v>
      </c>
      <c r="M73" s="70" t="e">
        <f>VLOOKUP($B71,Ш_р!$C$15:$AF$69,18,FALSE)</f>
        <v>#N/A</v>
      </c>
      <c r="N73" s="70" t="e">
        <f>VLOOKUP($B71,К_р!$C$15:$K$68,9,FALSE)</f>
        <v>#N/A</v>
      </c>
      <c r="O73" s="70" t="e">
        <f>VLOOKUP($B71,'15_р'!$C$17:$H$86,6,FALSE)</f>
        <v>#N/A</v>
      </c>
      <c r="P73" s="97"/>
      <c r="Q73" s="63"/>
      <c r="R73" s="63"/>
      <c r="S73" s="31" t="e">
        <f>$A71</f>
        <v>#N/A</v>
      </c>
      <c r="T73" s="31">
        <v>3</v>
      </c>
      <c r="U73" s="83"/>
      <c r="V73" s="78"/>
      <c r="W73" s="78"/>
      <c r="X73" s="78"/>
      <c r="Y73" s="78"/>
      <c r="Z73" s="78"/>
      <c r="AA73" s="78"/>
      <c r="AB73" s="79"/>
      <c r="AC73" s="79"/>
      <c r="AD73" s="79"/>
      <c r="AF73" s="35"/>
      <c r="AG73" s="35"/>
      <c r="AI73" s="35"/>
    </row>
    <row r="74" spans="1:35" s="60" customFormat="1" ht="13.5" customHeight="1" x14ac:dyDescent="0.35">
      <c r="A74" s="35"/>
      <c r="B74" s="35"/>
      <c r="C74" s="66" t="e">
        <f>VLOOKUP(B71,Уч!$A$2:$L$26,11,FALSE)</f>
        <v>#N/A</v>
      </c>
      <c r="D74" s="107"/>
      <c r="E74" s="33" t="s">
        <v>98</v>
      </c>
      <c r="F74" s="72">
        <f>F73</f>
        <v>673</v>
      </c>
      <c r="G74" s="70">
        <f>F74+G73</f>
        <v>673</v>
      </c>
      <c r="H74" s="70">
        <f>G74+H73</f>
        <v>1322</v>
      </c>
      <c r="I74" s="70">
        <f>H74+I73</f>
        <v>1322</v>
      </c>
      <c r="J74" s="70" t="e">
        <f>SUM($F73:J73)</f>
        <v>#N/A</v>
      </c>
      <c r="K74" s="70" t="e">
        <f>SUM($F73:$K73)</f>
        <v>#N/A</v>
      </c>
      <c r="L74" s="70" t="e">
        <f>K74+L73</f>
        <v>#N/A</v>
      </c>
      <c r="M74" s="70" t="e">
        <f>L74+M73</f>
        <v>#N/A</v>
      </c>
      <c r="N74" s="70" t="e">
        <f>SUM($F73:$N73)</f>
        <v>#N/A</v>
      </c>
      <c r="O74" s="70" t="e">
        <f>SUM($F73:$O73)</f>
        <v>#N/A</v>
      </c>
      <c r="P74" s="97"/>
      <c r="Q74" s="63"/>
      <c r="R74" s="63"/>
      <c r="S74" s="31" t="e">
        <f>$A71</f>
        <v>#N/A</v>
      </c>
      <c r="T74" s="31">
        <v>4</v>
      </c>
      <c r="U74" s="63">
        <f t="shared" ref="U74:AD74" si="11">F74</f>
        <v>673</v>
      </c>
      <c r="V74" s="63">
        <f t="shared" si="11"/>
        <v>673</v>
      </c>
      <c r="W74" s="63">
        <f t="shared" si="11"/>
        <v>1322</v>
      </c>
      <c r="X74" s="63">
        <f t="shared" si="11"/>
        <v>1322</v>
      </c>
      <c r="Y74" s="63" t="e">
        <f t="shared" si="11"/>
        <v>#N/A</v>
      </c>
      <c r="Z74" s="63" t="e">
        <f t="shared" si="11"/>
        <v>#N/A</v>
      </c>
      <c r="AA74" s="63" t="e">
        <f t="shared" si="11"/>
        <v>#N/A</v>
      </c>
      <c r="AB74" s="63" t="e">
        <f t="shared" si="11"/>
        <v>#N/A</v>
      </c>
      <c r="AC74" s="63" t="e">
        <f t="shared" si="11"/>
        <v>#N/A</v>
      </c>
      <c r="AD74" s="63" t="e">
        <f t="shared" si="11"/>
        <v>#N/A</v>
      </c>
      <c r="AF74" s="35"/>
      <c r="AG74" s="35"/>
      <c r="AI74" s="35"/>
    </row>
    <row r="75" spans="1:35" s="60" customFormat="1" ht="13.5" customHeight="1" thickBot="1" x14ac:dyDescent="0.4">
      <c r="A75" s="73"/>
      <c r="B75" s="73"/>
      <c r="C75" s="74" t="e">
        <f>VLOOKUP(B71,Уч!$A$2:$L$26,12,FALSE)</f>
        <v>#N/A</v>
      </c>
      <c r="D75" s="108"/>
      <c r="E75" s="43" t="s">
        <v>37</v>
      </c>
      <c r="F75" s="75" t="e">
        <f>RANK(F74,$U$19:$U$165,0)</f>
        <v>#N/A</v>
      </c>
      <c r="G75" s="76" t="e">
        <f>RANK(G74,$V$19:$V$165,0)</f>
        <v>#N/A</v>
      </c>
      <c r="H75" s="76" t="e">
        <f>RANK(H74,$W$19:$W$165,0)</f>
        <v>#N/A</v>
      </c>
      <c r="I75" s="76" t="e">
        <f>RANK(I74,$X$19:$X$165,0)</f>
        <v>#N/A</v>
      </c>
      <c r="J75" s="76" t="e">
        <f>RANK(J74,$Y$19:$Y$165,0)</f>
        <v>#N/A</v>
      </c>
      <c r="K75" s="76" t="e">
        <f>RANK(K74,$Z$19:$Z$165,0)</f>
        <v>#N/A</v>
      </c>
      <c r="L75" s="76" t="e">
        <f>RANK(L74,$AA$19:$AA$165,0)</f>
        <v>#N/A</v>
      </c>
      <c r="M75" s="76" t="e">
        <f>RANK(M74,$AB$19:$AB$155,0)</f>
        <v>#N/A</v>
      </c>
      <c r="N75" s="76" t="e">
        <f>RANK(N74,$AC$19:$AC$165,0)</f>
        <v>#N/A</v>
      </c>
      <c r="O75" s="76" t="e">
        <f>RANK(O74,$AD$19:$AD$165,0)</f>
        <v>#N/A</v>
      </c>
      <c r="P75" s="98"/>
      <c r="Q75" s="77"/>
      <c r="R75" s="77"/>
      <c r="S75" s="31" t="e">
        <f>$A71</f>
        <v>#N/A</v>
      </c>
      <c r="T75" s="31">
        <v>5</v>
      </c>
      <c r="U75" s="83"/>
      <c r="V75" s="78"/>
      <c r="W75" s="78"/>
      <c r="X75" s="78"/>
      <c r="Y75" s="78"/>
      <c r="Z75" s="78"/>
      <c r="AA75" s="78"/>
      <c r="AB75" s="79"/>
      <c r="AC75" s="79"/>
      <c r="AD75" s="79"/>
      <c r="AF75" s="35"/>
      <c r="AG75" s="35"/>
      <c r="AI75" s="35"/>
    </row>
    <row r="76" spans="1:35" s="60" customFormat="1" ht="13.5" customHeight="1" thickTop="1" x14ac:dyDescent="0.35">
      <c r="A76" s="35" t="e">
        <f>RANK(P76,$P$16:$P$165,0)</f>
        <v>#N/A</v>
      </c>
      <c r="B76" s="35">
        <v>36</v>
      </c>
      <c r="C76" s="60" t="str">
        <f>VLOOKUP(B76,Уч!$A$2:$L$26,2,FALSE)</f>
        <v>Королёв Максим</v>
      </c>
      <c r="D76" s="107" t="str">
        <f>VLOOKUP(B76,Уч!$A$2:$L$26,3,FALSE)</f>
        <v>06.01.1988</v>
      </c>
      <c r="E76" s="33" t="s">
        <v>28</v>
      </c>
      <c r="F76" s="61">
        <f>VLOOKUP($B76,'100 м 1'!$C$18:$I$86,5,FALSE)</f>
        <v>11.62</v>
      </c>
      <c r="G76" s="62" t="e">
        <f>VLOOKUP($B76,'длина 2 '!$C$16:$O$54,11,FALSE)</f>
        <v>#N/A</v>
      </c>
      <c r="H76" s="62" t="e">
        <f>VLOOKUP($B76,'ядро 2'!$C$16:$K$60,8,FALSE)</f>
        <v>#N/A</v>
      </c>
      <c r="I76" s="62" t="e">
        <f>VLOOKUP($B76,'высота 2'!$C$16:$AF$57,23,FALSE)</f>
        <v>#N/A</v>
      </c>
      <c r="J76" s="62" t="e">
        <f>VLOOKUP($B76,'4_р'!$C$17:$H$73,5,FALSE)</f>
        <v>#N/A</v>
      </c>
      <c r="K76" s="62" t="e">
        <f>VLOOKUP($B76,'1cб_р'!$C$17:$I$63,5,FALSE)</f>
        <v>#N/A</v>
      </c>
      <c r="L76" s="62" t="e">
        <f>VLOOKUP($B76,Дс_р!$C$16:$K$70,8,FALSE)</f>
        <v>#N/A</v>
      </c>
      <c r="M76" s="62" t="e">
        <f>VLOOKUP($B76,Ш_р!$C$15:$AF$69,17,FALSE)</f>
        <v>#N/A</v>
      </c>
      <c r="N76" s="62" t="e">
        <f>VLOOKUP($B76,К_р!$C$15:$K$68,8,FALSE)</f>
        <v>#N/A</v>
      </c>
      <c r="O76" s="70" t="e">
        <f>VLOOKUP($B76,'15_р'!$C$17:$H$86,5,FALSE)</f>
        <v>#N/A</v>
      </c>
      <c r="P76" s="97" t="e">
        <f>SUM(F78:O78)</f>
        <v>#N/A</v>
      </c>
      <c r="Q76" s="35" t="e">
        <f>LOOKUP(P76,$V$1:$V$7,$W$1:$W$7)</f>
        <v>#N/A</v>
      </c>
      <c r="R76" s="35"/>
      <c r="S76" s="31" t="e">
        <f>$A76</f>
        <v>#N/A</v>
      </c>
      <c r="T76" s="31">
        <v>1</v>
      </c>
      <c r="U76" s="78"/>
      <c r="V76" s="78"/>
      <c r="W76" s="78"/>
      <c r="X76" s="78"/>
      <c r="Y76" s="78"/>
      <c r="Z76" s="78"/>
      <c r="AA76" s="78"/>
      <c r="AB76" s="79"/>
      <c r="AC76" s="79"/>
      <c r="AD76" s="79"/>
      <c r="AF76" s="65">
        <v>15</v>
      </c>
      <c r="AG76" s="36">
        <v>3</v>
      </c>
      <c r="AH76" s="82"/>
      <c r="AI76" s="31"/>
    </row>
    <row r="77" spans="1:35" s="60" customFormat="1" ht="13.5" customHeight="1" x14ac:dyDescent="0.35">
      <c r="A77" s="35"/>
      <c r="B77" s="35"/>
      <c r="C77" s="66" t="str">
        <f>VLOOKUP(B76,Уч!$A$2:$L$26,5,FALSE)</f>
        <v xml:space="preserve">Липецкая область  </v>
      </c>
      <c r="D77" s="109" t="str">
        <f>VLOOKUP(B76,Уч!$A$2:$L$26,4,FALSE)</f>
        <v>МС</v>
      </c>
      <c r="E77" s="33" t="s">
        <v>97</v>
      </c>
      <c r="F77" s="68">
        <f>VLOOKUP($B76,'100 м 1'!$C$18:$I$86,6,FALSE)</f>
        <v>0</v>
      </c>
      <c r="G77" s="69" t="e">
        <f>VLOOKUP($B76,'длина 2 '!$C$16:$O$54,12,FALSE)</f>
        <v>#N/A</v>
      </c>
      <c r="H77" s="70"/>
      <c r="I77" s="69"/>
      <c r="J77" s="69"/>
      <c r="K77" s="69" t="e">
        <f>VLOOKUP($B76,'1cб_р'!$C$17:$I$63,6,FALSE)</f>
        <v>#N/A</v>
      </c>
      <c r="L77" s="69"/>
      <c r="M77" s="69"/>
      <c r="N77" s="70"/>
      <c r="O77" s="70"/>
      <c r="P77" s="97"/>
      <c r="Q77" s="80"/>
      <c r="R77" s="63"/>
      <c r="S77" s="31" t="e">
        <f>$A76</f>
        <v>#N/A</v>
      </c>
      <c r="T77" s="31">
        <v>2</v>
      </c>
      <c r="U77" s="78"/>
      <c r="V77" s="78"/>
      <c r="W77" s="78"/>
      <c r="X77" s="78"/>
      <c r="Y77" s="78"/>
      <c r="Z77" s="78"/>
      <c r="AA77" s="78"/>
      <c r="AB77" s="79"/>
      <c r="AC77" s="79"/>
      <c r="AD77" s="79"/>
      <c r="AF77" s="65">
        <v>16</v>
      </c>
      <c r="AG77" s="36">
        <v>2</v>
      </c>
      <c r="AH77" s="82"/>
      <c r="AI77" s="31"/>
    </row>
    <row r="78" spans="1:35" s="60" customFormat="1" ht="13.5" customHeight="1" x14ac:dyDescent="0.35">
      <c r="A78" s="35"/>
      <c r="B78" s="35"/>
      <c r="C78" s="67" t="str">
        <f>VLOOKUP(B76,Уч!$A$2:$L$26,7,FALSE)</f>
        <v>ГБУ ЛО ОК СШОР</v>
      </c>
      <c r="D78" s="109"/>
      <c r="E78" s="33" t="s">
        <v>77</v>
      </c>
      <c r="F78" s="72">
        <f>VLOOKUP($B76,'100 м 1'!$C$18:$I$86,7,FALSE)</f>
        <v>728</v>
      </c>
      <c r="G78" s="70" t="e">
        <f>VLOOKUP($B76,'длина 2 '!$C$16:$O$54,13,FALSE)</f>
        <v>#N/A</v>
      </c>
      <c r="H78" s="70" t="e">
        <f>VLOOKUP($B76,'ядро 2'!$C$16:$K$60,9,FALSE)</f>
        <v>#N/A</v>
      </c>
      <c r="I78" s="70" t="e">
        <f>VLOOKUP($B76,'высота 2'!$C$16:$AF$57,24,)</f>
        <v>#N/A</v>
      </c>
      <c r="J78" s="70" t="e">
        <f>VLOOKUP($B76,'4_р'!$C$17:$H$73,6,FALSE)</f>
        <v>#N/A</v>
      </c>
      <c r="K78" s="70" t="e">
        <f>VLOOKUP($B76,'1cб_р'!$C$17:$I$63,7,FALSE)</f>
        <v>#N/A</v>
      </c>
      <c r="L78" s="70" t="e">
        <f>VLOOKUP($B76,Дс_р!$C$16:$K$70,9,FALSE)</f>
        <v>#N/A</v>
      </c>
      <c r="M78" s="70" t="e">
        <f>VLOOKUP($B76,Ш_р!$C$15:$AF$69,18,FALSE)</f>
        <v>#N/A</v>
      </c>
      <c r="N78" s="70" t="e">
        <f>VLOOKUP($B76,К_р!$C$15:$K$68,9,FALSE)</f>
        <v>#N/A</v>
      </c>
      <c r="O78" s="70" t="e">
        <f>VLOOKUP($B76,'15_р'!$C$17:$H$86,6,FALSE)</f>
        <v>#N/A</v>
      </c>
      <c r="P78" s="97"/>
      <c r="Q78" s="80"/>
      <c r="R78" s="63"/>
      <c r="S78" s="31" t="e">
        <f>$A76</f>
        <v>#N/A</v>
      </c>
      <c r="T78" s="31">
        <v>3</v>
      </c>
      <c r="U78" s="78"/>
      <c r="V78" s="78"/>
      <c r="W78" s="78"/>
      <c r="X78" s="78"/>
      <c r="Y78" s="78"/>
      <c r="Z78" s="78"/>
      <c r="AA78" s="78"/>
      <c r="AB78" s="79"/>
      <c r="AC78" s="79"/>
      <c r="AD78" s="79"/>
      <c r="AF78" s="35" t="s">
        <v>61</v>
      </c>
      <c r="AG78" s="35">
        <v>1</v>
      </c>
      <c r="AH78" s="36" t="s">
        <v>81</v>
      </c>
      <c r="AI78" s="31"/>
    </row>
    <row r="79" spans="1:35" s="60" customFormat="1" ht="13.5" customHeight="1" x14ac:dyDescent="0.35">
      <c r="A79" s="35"/>
      <c r="B79" s="35"/>
      <c r="C79" s="66" t="str">
        <f>VLOOKUP(B76,Уч!$A$2:$L$26,11,FALSE)</f>
        <v>Стегачёв И.Н., Королева К.В., Фролов С.В.</v>
      </c>
      <c r="D79" s="109"/>
      <c r="E79" s="33" t="s">
        <v>98</v>
      </c>
      <c r="F79" s="72">
        <f>F78</f>
        <v>728</v>
      </c>
      <c r="G79" s="70" t="e">
        <f>F79+G78</f>
        <v>#N/A</v>
      </c>
      <c r="H79" s="70" t="e">
        <f>G79+H78</f>
        <v>#N/A</v>
      </c>
      <c r="I79" s="70" t="e">
        <f>H79+I78</f>
        <v>#N/A</v>
      </c>
      <c r="J79" s="70" t="e">
        <f>SUM($F78:J78)</f>
        <v>#N/A</v>
      </c>
      <c r="K79" s="70" t="e">
        <f>SUM($F78:$K78)</f>
        <v>#N/A</v>
      </c>
      <c r="L79" s="70" t="e">
        <f>K79+L78</f>
        <v>#N/A</v>
      </c>
      <c r="M79" s="70" t="e">
        <f>L79+M78</f>
        <v>#N/A</v>
      </c>
      <c r="N79" s="70" t="e">
        <f>SUM($F78:$N78)</f>
        <v>#N/A</v>
      </c>
      <c r="O79" s="70" t="e">
        <f>SUM($F78:$O78)</f>
        <v>#N/A</v>
      </c>
      <c r="P79" s="97"/>
      <c r="Q79" s="63"/>
      <c r="R79" s="63"/>
      <c r="S79" s="31" t="e">
        <f>$A76</f>
        <v>#N/A</v>
      </c>
      <c r="T79" s="31">
        <v>4</v>
      </c>
      <c r="U79" s="63">
        <f t="shared" ref="U79:AD79" si="12">F79</f>
        <v>728</v>
      </c>
      <c r="V79" s="63" t="e">
        <f t="shared" si="12"/>
        <v>#N/A</v>
      </c>
      <c r="W79" s="63" t="e">
        <f t="shared" si="12"/>
        <v>#N/A</v>
      </c>
      <c r="X79" s="63" t="e">
        <f t="shared" si="12"/>
        <v>#N/A</v>
      </c>
      <c r="Y79" s="63" t="e">
        <f t="shared" si="12"/>
        <v>#N/A</v>
      </c>
      <c r="Z79" s="63" t="e">
        <f t="shared" si="12"/>
        <v>#N/A</v>
      </c>
      <c r="AA79" s="63" t="e">
        <f t="shared" si="12"/>
        <v>#N/A</v>
      </c>
      <c r="AB79" s="63" t="e">
        <f t="shared" si="12"/>
        <v>#N/A</v>
      </c>
      <c r="AC79" s="63" t="e">
        <f t="shared" si="12"/>
        <v>#N/A</v>
      </c>
      <c r="AD79" s="63" t="e">
        <f t="shared" si="12"/>
        <v>#N/A</v>
      </c>
      <c r="AF79" s="65" t="s">
        <v>82</v>
      </c>
      <c r="AG79" s="35">
        <v>1</v>
      </c>
      <c r="AH79" s="36" t="s">
        <v>83</v>
      </c>
      <c r="AI79" s="31"/>
    </row>
    <row r="80" spans="1:35" s="60" customFormat="1" ht="13.5" customHeight="1" thickBot="1" x14ac:dyDescent="0.4">
      <c r="A80" s="73"/>
      <c r="B80" s="73"/>
      <c r="C80" s="74">
        <f>VLOOKUP(B76,Уч!$A$2:$L$26,12,FALSE)</f>
        <v>0</v>
      </c>
      <c r="D80" s="110"/>
      <c r="E80" s="43" t="s">
        <v>37</v>
      </c>
      <c r="F80" s="75" t="e">
        <f>RANK(F79,$U$19:$U$165,0)</f>
        <v>#N/A</v>
      </c>
      <c r="G80" s="76" t="e">
        <f>RANK(G79,$V$19:$V$165,0)</f>
        <v>#N/A</v>
      </c>
      <c r="H80" s="76" t="e">
        <f>RANK(H79,$W$19:$W$165,0)</f>
        <v>#N/A</v>
      </c>
      <c r="I80" s="76" t="e">
        <f>RANK(I79,$X$19:$X$165,0)</f>
        <v>#N/A</v>
      </c>
      <c r="J80" s="76" t="e">
        <f>RANK(J79,$Y$19:$Y$165,0)</f>
        <v>#N/A</v>
      </c>
      <c r="K80" s="76" t="e">
        <f>RANK(K79,$Z$19:$Z$165,0)</f>
        <v>#N/A</v>
      </c>
      <c r="L80" s="76" t="e">
        <f>RANK(L79,$AA$19:$AA$165,0)</f>
        <v>#N/A</v>
      </c>
      <c r="M80" s="76" t="e">
        <f>RANK(M79,$AB$19:$AB$155,0)</f>
        <v>#N/A</v>
      </c>
      <c r="N80" s="76" t="e">
        <f>RANK(N79,$AC$19:$AC$165,0)</f>
        <v>#N/A</v>
      </c>
      <c r="O80" s="76" t="e">
        <f>RANK(O79,$AD$19:$AD$165,0)</f>
        <v>#N/A</v>
      </c>
      <c r="P80" s="98"/>
      <c r="Q80" s="77"/>
      <c r="R80" s="77"/>
      <c r="S80" s="31" t="e">
        <f>$A76</f>
        <v>#N/A</v>
      </c>
      <c r="T80" s="31">
        <v>5</v>
      </c>
      <c r="U80" s="83"/>
      <c r="V80" s="78"/>
      <c r="W80" s="78"/>
      <c r="X80" s="78"/>
      <c r="Y80" s="78"/>
      <c r="Z80" s="78"/>
      <c r="AA80" s="78"/>
      <c r="AB80" s="79"/>
      <c r="AC80" s="79"/>
      <c r="AD80" s="79"/>
      <c r="AF80" s="65" t="s">
        <v>84</v>
      </c>
      <c r="AG80" s="35">
        <v>1</v>
      </c>
      <c r="AH80" s="36" t="s">
        <v>79</v>
      </c>
      <c r="AI80" s="35"/>
    </row>
    <row r="81" spans="1:39" s="60" customFormat="1" ht="13.5" customHeight="1" thickTop="1" x14ac:dyDescent="0.35">
      <c r="A81" s="35" t="e">
        <f>RANK(P81,$P$16:$P$165,0)</f>
        <v>#N/A</v>
      </c>
      <c r="B81" s="35">
        <v>22</v>
      </c>
      <c r="C81" s="60" t="str">
        <f>VLOOKUP(B81,Уч!$A$2:$L$26,2,FALSE)</f>
        <v>Чернов Евгений</v>
      </c>
      <c r="D81" s="107">
        <v>32964</v>
      </c>
      <c r="E81" s="33" t="s">
        <v>28</v>
      </c>
      <c r="F81" s="61">
        <f>VLOOKUP($B81,'100 м 1'!$C$18:$I$86,5,FALSE)</f>
        <v>11.8</v>
      </c>
      <c r="G81" s="62" t="e">
        <f>VLOOKUP($B81,'длина 2 '!$C$16:$O$54,11,FALSE)</f>
        <v>#N/A</v>
      </c>
      <c r="H81" s="62" t="e">
        <f>VLOOKUP($B81,'ядро 2'!$C$16:$K$60,8,FALSE)</f>
        <v>#N/A</v>
      </c>
      <c r="I81" s="62" t="e">
        <f>VLOOKUP($B81,'высота 2'!$C$16:$AF$57,23,FALSE)</f>
        <v>#N/A</v>
      </c>
      <c r="J81" s="62" t="e">
        <f>VLOOKUP($B81,'4_р'!$C$17:$H$73,5,FALSE)</f>
        <v>#N/A</v>
      </c>
      <c r="K81" s="62" t="e">
        <f>VLOOKUP($B81,'1cб_р'!$C$17:$I$63,5,FALSE)</f>
        <v>#N/A</v>
      </c>
      <c r="L81" s="62" t="e">
        <f>VLOOKUP($B81,Дс_р!$C$16:$K$70,8,FALSE)</f>
        <v>#N/A</v>
      </c>
      <c r="M81" s="62" t="e">
        <f>VLOOKUP($B81,Ш_р!$C$15:$AF$69,17,FALSE)</f>
        <v>#N/A</v>
      </c>
      <c r="N81" s="62" t="e">
        <f>VLOOKUP($B81,К_р!$C$15:$K$68,8,FALSE)</f>
        <v>#N/A</v>
      </c>
      <c r="O81" s="70">
        <f>VLOOKUP($B81,'15_р'!$C$17:$H$86,5,FALSE)</f>
        <v>0</v>
      </c>
      <c r="P81" s="97" t="e">
        <f>SUM(F83:O83)</f>
        <v>#N/A</v>
      </c>
      <c r="Q81" s="35" t="e">
        <f>LOOKUP(P81,$V$1:$V$7,$W$1:$W$7)</f>
        <v>#N/A</v>
      </c>
      <c r="R81" s="35"/>
      <c r="S81" s="31" t="e">
        <f>$A81</f>
        <v>#N/A</v>
      </c>
      <c r="T81" s="31">
        <v>1</v>
      </c>
      <c r="U81" s="83"/>
      <c r="V81" s="78"/>
      <c r="W81" s="78"/>
      <c r="X81" s="78"/>
      <c r="Y81" s="78"/>
      <c r="Z81" s="78"/>
      <c r="AA81" s="78"/>
      <c r="AB81" s="79"/>
      <c r="AC81" s="79"/>
      <c r="AD81" s="79"/>
      <c r="AF81" s="35"/>
      <c r="AG81" s="35"/>
      <c r="AI81" s="35"/>
    </row>
    <row r="82" spans="1:39" s="60" customFormat="1" ht="13.5" customHeight="1" x14ac:dyDescent="0.35">
      <c r="A82" s="35"/>
      <c r="B82" s="35"/>
      <c r="C82" s="66" t="str">
        <f>VLOOKUP(B81,Уч!$A$2:$L$26,5,FALSE)</f>
        <v xml:space="preserve">Краснодарский край  </v>
      </c>
      <c r="D82" s="109" t="str">
        <f>VLOOKUP(B81,Уч!$A$2:$L$26,4,FALSE)</f>
        <v>МС</v>
      </c>
      <c r="E82" s="33" t="s">
        <v>97</v>
      </c>
      <c r="F82" s="68">
        <f>VLOOKUP($B81,'100 м 1'!$C$18:$I$86,6,FALSE)</f>
        <v>0</v>
      </c>
      <c r="G82" s="69" t="e">
        <f>VLOOKUP($B81,'длина 2 '!$C$16:$O$54,12,FALSE)</f>
        <v>#N/A</v>
      </c>
      <c r="H82" s="70"/>
      <c r="I82" s="69"/>
      <c r="J82" s="69"/>
      <c r="K82" s="69" t="e">
        <f>VLOOKUP($B81,'1cб_р'!$C$17:$I$63,6,FALSE)</f>
        <v>#N/A</v>
      </c>
      <c r="L82" s="69"/>
      <c r="M82" s="69"/>
      <c r="N82" s="70"/>
      <c r="O82" s="70"/>
      <c r="P82" s="97"/>
      <c r="Q82" s="63"/>
      <c r="R82" s="63"/>
      <c r="S82" s="31" t="e">
        <f>$A81</f>
        <v>#N/A</v>
      </c>
      <c r="T82" s="31">
        <v>2</v>
      </c>
      <c r="U82" s="83"/>
      <c r="V82" s="78"/>
      <c r="W82" s="78"/>
      <c r="X82" s="78"/>
      <c r="Y82" s="78"/>
      <c r="Z82" s="78"/>
      <c r="AA82" s="78"/>
      <c r="AB82" s="79"/>
      <c r="AC82" s="79"/>
      <c r="AD82" s="79"/>
      <c r="AF82" s="35"/>
      <c r="AG82" s="35"/>
      <c r="AI82" s="35"/>
    </row>
    <row r="83" spans="1:39" s="60" customFormat="1" ht="13.5" customHeight="1" x14ac:dyDescent="0.35">
      <c r="A83" s="35"/>
      <c r="B83" s="35"/>
      <c r="C83" s="67" t="str">
        <f>VLOOKUP(B81,Уч!$A$2:$L$26,7,FALSE)</f>
        <v>ГБУ КК "ЦОП по легкой атлетике", ГБУ КК  "РЦСП по легкой атлетике"</v>
      </c>
      <c r="D83" s="109"/>
      <c r="E83" s="33" t="s">
        <v>77</v>
      </c>
      <c r="F83" s="72">
        <f>VLOOKUP($B81,'100 м 1'!$C$18:$I$86,7,FALSE)</f>
        <v>691</v>
      </c>
      <c r="G83" s="70" t="e">
        <f>VLOOKUP($B81,'длина 2 '!$C$16:$O$54,13,FALSE)</f>
        <v>#N/A</v>
      </c>
      <c r="H83" s="70" t="e">
        <f>VLOOKUP($B81,'ядро 2'!$C$16:$K$60,9,FALSE)</f>
        <v>#N/A</v>
      </c>
      <c r="I83" s="70" t="e">
        <f>VLOOKUP($B81,'высота 2'!$C$16:$AF$57,24,)</f>
        <v>#N/A</v>
      </c>
      <c r="J83" s="70" t="e">
        <f>VLOOKUP($B81,'4_р'!$C$17:$H$73,6,FALSE)</f>
        <v>#N/A</v>
      </c>
      <c r="K83" s="70" t="e">
        <f>VLOOKUP($B81,'1cб_р'!$C$17:$I$63,7,FALSE)</f>
        <v>#N/A</v>
      </c>
      <c r="L83" s="70" t="e">
        <f>VLOOKUP($B81,Дс_р!$C$16:$K$70,9,FALSE)</f>
        <v>#N/A</v>
      </c>
      <c r="M83" s="70" t="e">
        <f>VLOOKUP($B81,Ш_р!$C$15:$AF$69,18,FALSE)</f>
        <v>#N/A</v>
      </c>
      <c r="N83" s="70" t="e">
        <f>VLOOKUP($B81,К_р!$C$15:$K$68,9,FALSE)</f>
        <v>#N/A</v>
      </c>
      <c r="O83" s="70">
        <f>VLOOKUP($B81,'15_р'!$C$17:$H$86,6,FALSE)</f>
        <v>0</v>
      </c>
      <c r="P83" s="97"/>
      <c r="Q83" s="63"/>
      <c r="R83" s="63"/>
      <c r="S83" s="31" t="e">
        <f>$A81</f>
        <v>#N/A</v>
      </c>
      <c r="T83" s="31">
        <v>3</v>
      </c>
      <c r="U83" s="83"/>
      <c r="V83" s="78"/>
      <c r="W83" s="78"/>
      <c r="X83" s="78"/>
      <c r="Y83" s="78"/>
      <c r="Z83" s="78"/>
      <c r="AA83" s="78"/>
      <c r="AB83" s="79"/>
      <c r="AC83" s="79"/>
      <c r="AD83" s="79"/>
      <c r="AF83" s="35"/>
      <c r="AG83" s="35"/>
      <c r="AI83" s="35"/>
    </row>
    <row r="84" spans="1:39" s="60" customFormat="1" ht="13.5" customHeight="1" x14ac:dyDescent="0.35">
      <c r="A84" s="35"/>
      <c r="B84" s="35"/>
      <c r="C84" s="66" t="str">
        <f>VLOOKUP(B81,Уч!$A$2:$L$26,11,FALSE)</f>
        <v>Чернов С.А., Мирошниченко В.И., Чернова Т.С.</v>
      </c>
      <c r="D84" s="109"/>
      <c r="E84" s="33" t="s">
        <v>98</v>
      </c>
      <c r="F84" s="72">
        <f>F83</f>
        <v>691</v>
      </c>
      <c r="G84" s="70" t="e">
        <f>F84+G83</f>
        <v>#N/A</v>
      </c>
      <c r="H84" s="70" t="e">
        <f>G84+H83</f>
        <v>#N/A</v>
      </c>
      <c r="I84" s="70" t="e">
        <f>H84+I83</f>
        <v>#N/A</v>
      </c>
      <c r="J84" s="70" t="e">
        <f>SUM($F83:J83)</f>
        <v>#N/A</v>
      </c>
      <c r="K84" s="70" t="e">
        <f>SUM($F83:$K83)</f>
        <v>#N/A</v>
      </c>
      <c r="L84" s="70" t="e">
        <f>K84+L83</f>
        <v>#N/A</v>
      </c>
      <c r="M84" s="70" t="e">
        <f>L84+M83</f>
        <v>#N/A</v>
      </c>
      <c r="N84" s="70" t="e">
        <f>SUM($F83:$N83)</f>
        <v>#N/A</v>
      </c>
      <c r="O84" s="70" t="e">
        <f>SUM($F83:$O83)</f>
        <v>#N/A</v>
      </c>
      <c r="P84" s="97"/>
      <c r="Q84" s="63"/>
      <c r="R84" s="63"/>
      <c r="S84" s="31" t="e">
        <f>$A81</f>
        <v>#N/A</v>
      </c>
      <c r="T84" s="31">
        <v>4</v>
      </c>
      <c r="U84" s="63">
        <f t="shared" ref="U84:AD84" si="13">F84</f>
        <v>691</v>
      </c>
      <c r="V84" s="63" t="e">
        <f t="shared" si="13"/>
        <v>#N/A</v>
      </c>
      <c r="W84" s="63" t="e">
        <f t="shared" si="13"/>
        <v>#N/A</v>
      </c>
      <c r="X84" s="63" t="e">
        <f t="shared" si="13"/>
        <v>#N/A</v>
      </c>
      <c r="Y84" s="63" t="e">
        <f t="shared" si="13"/>
        <v>#N/A</v>
      </c>
      <c r="Z84" s="63" t="e">
        <f t="shared" si="13"/>
        <v>#N/A</v>
      </c>
      <c r="AA84" s="63" t="e">
        <f t="shared" si="13"/>
        <v>#N/A</v>
      </c>
      <c r="AB84" s="63" t="e">
        <f t="shared" si="13"/>
        <v>#N/A</v>
      </c>
      <c r="AC84" s="63" t="e">
        <f t="shared" si="13"/>
        <v>#N/A</v>
      </c>
      <c r="AD84" s="63" t="e">
        <f t="shared" si="13"/>
        <v>#N/A</v>
      </c>
      <c r="AF84" s="35"/>
      <c r="AG84" s="35"/>
      <c r="AI84" s="35"/>
    </row>
    <row r="85" spans="1:39" s="60" customFormat="1" ht="13.5" customHeight="1" thickBot="1" x14ac:dyDescent="0.4">
      <c r="A85" s="73"/>
      <c r="B85" s="73"/>
      <c r="C85" s="74">
        <f>VLOOKUP(B81,Уч!$A$2:$L$26,12,FALSE)</f>
        <v>0</v>
      </c>
      <c r="D85" s="110"/>
      <c r="E85" s="43" t="s">
        <v>37</v>
      </c>
      <c r="F85" s="75" t="e">
        <f>RANK(F84,$U$19:$U$165,0)</f>
        <v>#N/A</v>
      </c>
      <c r="G85" s="76" t="e">
        <f>RANK(G84,$V$19:$V$165,0)</f>
        <v>#N/A</v>
      </c>
      <c r="H85" s="76" t="e">
        <f>RANK(H84,$W$19:$W$165,0)</f>
        <v>#N/A</v>
      </c>
      <c r="I85" s="76" t="e">
        <f>RANK(I84,$X$19:$X$165,0)</f>
        <v>#N/A</v>
      </c>
      <c r="J85" s="76" t="e">
        <f>RANK(J84,$Y$19:$Y$165,0)</f>
        <v>#N/A</v>
      </c>
      <c r="K85" s="76" t="e">
        <f>RANK(K84,$Z$19:$Z$165,0)</f>
        <v>#N/A</v>
      </c>
      <c r="L85" s="76" t="e">
        <f>RANK(L84,$AA$19:$AA$165,0)</f>
        <v>#N/A</v>
      </c>
      <c r="M85" s="76" t="e">
        <f>RANK(M84,$AB$19:$AB$155,0)</f>
        <v>#N/A</v>
      </c>
      <c r="N85" s="76" t="e">
        <f>RANK(N84,$AC$19:$AC$165,0)</f>
        <v>#N/A</v>
      </c>
      <c r="O85" s="76" t="e">
        <f>RANK(O84,$AD$19:$AD$165,0)</f>
        <v>#N/A</v>
      </c>
      <c r="P85" s="98"/>
      <c r="Q85" s="77"/>
      <c r="R85" s="77"/>
      <c r="S85" s="31" t="e">
        <f>$A81</f>
        <v>#N/A</v>
      </c>
      <c r="T85" s="31">
        <v>5</v>
      </c>
      <c r="U85" s="83"/>
      <c r="V85" s="78"/>
      <c r="W85" s="78"/>
      <c r="X85" s="78"/>
      <c r="Y85" s="78"/>
      <c r="Z85" s="78"/>
      <c r="AA85" s="78"/>
      <c r="AB85" s="79"/>
      <c r="AC85" s="79"/>
      <c r="AD85" s="79"/>
      <c r="AF85" s="35"/>
      <c r="AG85" s="35"/>
      <c r="AI85" s="35"/>
    </row>
    <row r="86" spans="1:39" s="60" customFormat="1" ht="13.5" customHeight="1" thickTop="1" x14ac:dyDescent="0.35">
      <c r="A86" s="35" t="e">
        <f>RANK(P86,$P$16:$P$165,0)</f>
        <v>#N/A</v>
      </c>
      <c r="B86" s="35">
        <v>105</v>
      </c>
      <c r="C86" s="60" t="e">
        <f>VLOOKUP(B86,Уч!$A$2:$L$26,2,FALSE)</f>
        <v>#N/A</v>
      </c>
      <c r="D86" s="107" t="e">
        <f>VLOOKUP(B86,Уч!$A$2:$L$26,3,FALSE)</f>
        <v>#N/A</v>
      </c>
      <c r="E86" s="33" t="s">
        <v>28</v>
      </c>
      <c r="F86" s="61" t="e">
        <f>VLOOKUP($B86,'100 м 1'!$C$18:$I$86,5,FALSE)</f>
        <v>#N/A</v>
      </c>
      <c r="G86" s="62" t="e">
        <f>VLOOKUP($B86,'длина 2 '!$C$16:$O$54,11,FALSE)</f>
        <v>#N/A</v>
      </c>
      <c r="H86" s="62" t="e">
        <f>VLOOKUP($B86,'ядро 2'!$C$16:$K$60,8,FALSE)</f>
        <v>#N/A</v>
      </c>
      <c r="I86" s="62" t="e">
        <f>VLOOKUP($B86,'высота 2'!$C$16:$AF$57,23,FALSE)</f>
        <v>#N/A</v>
      </c>
      <c r="J86" s="62" t="e">
        <f>VLOOKUP($B86,'4_р'!$C$17:$H$73,5,FALSE)</f>
        <v>#N/A</v>
      </c>
      <c r="K86" s="62" t="e">
        <f>VLOOKUP($B86,'1cб_р'!$C$17:$I$63,5,FALSE)</f>
        <v>#N/A</v>
      </c>
      <c r="L86" s="62" t="e">
        <f>VLOOKUP($B86,Дс_р!$C$16:$K$70,8,FALSE)</f>
        <v>#N/A</v>
      </c>
      <c r="M86" s="62" t="e">
        <f>VLOOKUP($B86,Ш_р!$C$15:$AF$69,17,FALSE)</f>
        <v>#N/A</v>
      </c>
      <c r="N86" s="62" t="e">
        <f>VLOOKUP($B86,К_р!$C$15:$K$68,8,FALSE)</f>
        <v>#N/A</v>
      </c>
      <c r="O86" s="70" t="e">
        <f>VLOOKUP($B86,'15_р'!$C$17:$H$86,5,FALSE)</f>
        <v>#N/A</v>
      </c>
      <c r="P86" s="97" t="e">
        <f>SUM(F88:O88)</f>
        <v>#N/A</v>
      </c>
      <c r="Q86" s="35" t="e">
        <f>LOOKUP(P86,$V$1:$V$7,$W$1:$W$7)</f>
        <v>#N/A</v>
      </c>
      <c r="R86" s="35"/>
      <c r="S86" s="31" t="e">
        <f>$A86</f>
        <v>#N/A</v>
      </c>
      <c r="T86" s="31">
        <v>1</v>
      </c>
      <c r="U86" s="83"/>
      <c r="V86" s="78"/>
      <c r="W86" s="78"/>
      <c r="X86" s="78"/>
      <c r="Y86" s="78"/>
      <c r="Z86" s="78"/>
      <c r="AA86" s="78"/>
      <c r="AB86" s="79"/>
      <c r="AC86" s="79"/>
      <c r="AD86" s="79"/>
      <c r="AF86" s="35"/>
      <c r="AG86" s="35"/>
      <c r="AI86" s="35"/>
    </row>
    <row r="87" spans="1:39" s="60" customFormat="1" ht="13.5" customHeight="1" x14ac:dyDescent="0.35">
      <c r="A87" s="35"/>
      <c r="B87" s="35"/>
      <c r="C87" s="66" t="e">
        <f>VLOOKUP(B86,Уч!$A$2:$L$26,5,FALSE)</f>
        <v>#N/A</v>
      </c>
      <c r="D87" s="107" t="e">
        <f>VLOOKUP(B86,Уч!$A$2:$L$26,4,FALSE)</f>
        <v>#N/A</v>
      </c>
      <c r="E87" s="33" t="s">
        <v>97</v>
      </c>
      <c r="F87" s="68" t="e">
        <f>VLOOKUP($B86,'100 м 1'!$C$18:$I$86,6,FALSE)</f>
        <v>#N/A</v>
      </c>
      <c r="G87" s="69" t="e">
        <f>VLOOKUP($B86,'длина 2 '!$C$16:$O$54,12,FALSE)</f>
        <v>#N/A</v>
      </c>
      <c r="H87" s="70"/>
      <c r="I87" s="69"/>
      <c r="J87" s="69"/>
      <c r="K87" s="69" t="e">
        <f>VLOOKUP($B86,'1cб_р'!$C$17:$I$63,6,FALSE)</f>
        <v>#N/A</v>
      </c>
      <c r="L87" s="69"/>
      <c r="M87" s="69"/>
      <c r="N87" s="70"/>
      <c r="O87" s="70"/>
      <c r="P87" s="97"/>
      <c r="Q87" s="63"/>
      <c r="R87" s="63"/>
      <c r="S87" s="31" t="e">
        <f>$A86</f>
        <v>#N/A</v>
      </c>
      <c r="T87" s="31">
        <v>2</v>
      </c>
      <c r="U87" s="83"/>
      <c r="V87" s="78"/>
      <c r="W87" s="78"/>
      <c r="X87" s="78"/>
      <c r="Y87" s="78"/>
      <c r="Z87" s="78"/>
      <c r="AA87" s="78"/>
      <c r="AB87" s="79"/>
      <c r="AC87" s="79"/>
      <c r="AD87" s="79"/>
      <c r="AF87" s="35"/>
      <c r="AG87" s="35"/>
      <c r="AI87" s="35"/>
    </row>
    <row r="88" spans="1:39" s="60" customFormat="1" ht="13.5" customHeight="1" x14ac:dyDescent="0.35">
      <c r="A88" s="35"/>
      <c r="B88" s="35"/>
      <c r="C88" s="67" t="e">
        <f>VLOOKUP(B86,Уч!$A$2:$L$26,7,FALSE)</f>
        <v>#N/A</v>
      </c>
      <c r="D88" s="107"/>
      <c r="E88" s="33" t="s">
        <v>77</v>
      </c>
      <c r="F88" s="72" t="e">
        <f>VLOOKUP($B86,'100 м 1'!$C$18:$I$86,7,FALSE)</f>
        <v>#N/A</v>
      </c>
      <c r="G88" s="70" t="e">
        <f>VLOOKUP($B86,'длина 2 '!$C$16:$O$54,13,FALSE)</f>
        <v>#N/A</v>
      </c>
      <c r="H88" s="70" t="e">
        <f>VLOOKUP($B86,'ядро 2'!$C$16:$K$60,9,FALSE)</f>
        <v>#N/A</v>
      </c>
      <c r="I88" s="70" t="e">
        <f>VLOOKUP($B86,'высота 2'!$C$16:$AF$57,24,)</f>
        <v>#N/A</v>
      </c>
      <c r="J88" s="70" t="e">
        <f>VLOOKUP($B86,'4_р'!$C$17:$H$73,6,FALSE)</f>
        <v>#N/A</v>
      </c>
      <c r="K88" s="70" t="e">
        <f>VLOOKUP($B86,'1cб_р'!$C$17:$I$63,7,FALSE)</f>
        <v>#N/A</v>
      </c>
      <c r="L88" s="70" t="e">
        <f>VLOOKUP($B86,Дс_р!$C$16:$K$70,9,FALSE)</f>
        <v>#N/A</v>
      </c>
      <c r="M88" s="70" t="e">
        <f>VLOOKUP($B86,Ш_р!$C$15:$AF$69,18,FALSE)</f>
        <v>#N/A</v>
      </c>
      <c r="N88" s="70" t="e">
        <f>VLOOKUP($B86,К_р!$C$15:$K$68,9,FALSE)</f>
        <v>#N/A</v>
      </c>
      <c r="O88" s="70" t="e">
        <f>VLOOKUP($B86,'15_р'!$C$17:$H$86,6,FALSE)</f>
        <v>#N/A</v>
      </c>
      <c r="P88" s="97"/>
      <c r="Q88" s="63"/>
      <c r="R88" s="63"/>
      <c r="S88" s="31" t="e">
        <f>$A86</f>
        <v>#N/A</v>
      </c>
      <c r="T88" s="31">
        <v>3</v>
      </c>
      <c r="U88" s="83"/>
      <c r="V88" s="78"/>
      <c r="W88" s="78"/>
      <c r="X88" s="78"/>
      <c r="Y88" s="78"/>
      <c r="Z88" s="78"/>
      <c r="AA88" s="78"/>
      <c r="AB88" s="79"/>
      <c r="AC88" s="79"/>
      <c r="AD88" s="79"/>
      <c r="AF88" s="35"/>
      <c r="AG88" s="35"/>
      <c r="AI88" s="35"/>
    </row>
    <row r="89" spans="1:39" s="60" customFormat="1" ht="13.5" customHeight="1" x14ac:dyDescent="0.35">
      <c r="A89" s="35"/>
      <c r="B89" s="35"/>
      <c r="C89" s="66" t="e">
        <f>VLOOKUP(B86,Уч!$A$2:$L$26,11,FALSE)</f>
        <v>#N/A</v>
      </c>
      <c r="D89" s="107"/>
      <c r="E89" s="33" t="s">
        <v>98</v>
      </c>
      <c r="F89" s="72" t="e">
        <f>F88</f>
        <v>#N/A</v>
      </c>
      <c r="G89" s="70" t="e">
        <f>F89+G88</f>
        <v>#N/A</v>
      </c>
      <c r="H89" s="70" t="e">
        <f>G89+H88</f>
        <v>#N/A</v>
      </c>
      <c r="I89" s="70" t="e">
        <f>H89+I88</f>
        <v>#N/A</v>
      </c>
      <c r="J89" s="70" t="e">
        <f>SUM($F88:J88)</f>
        <v>#N/A</v>
      </c>
      <c r="K89" s="70" t="e">
        <f>SUM($F88:$K88)</f>
        <v>#N/A</v>
      </c>
      <c r="L89" s="70" t="e">
        <f>K89+L88</f>
        <v>#N/A</v>
      </c>
      <c r="M89" s="70" t="e">
        <f>L89+M88</f>
        <v>#N/A</v>
      </c>
      <c r="N89" s="70" t="e">
        <f>SUM($F88:$N88)</f>
        <v>#N/A</v>
      </c>
      <c r="O89" s="70" t="e">
        <f>SUM($F88:$O88)</f>
        <v>#N/A</v>
      </c>
      <c r="P89" s="97"/>
      <c r="Q89" s="63"/>
      <c r="R89" s="63"/>
      <c r="S89" s="31" t="e">
        <f>$A86</f>
        <v>#N/A</v>
      </c>
      <c r="T89" s="31">
        <v>4</v>
      </c>
      <c r="U89" s="63" t="e">
        <f t="shared" ref="U89:AD89" si="14">F89</f>
        <v>#N/A</v>
      </c>
      <c r="V89" s="63" t="e">
        <f t="shared" si="14"/>
        <v>#N/A</v>
      </c>
      <c r="W89" s="63" t="e">
        <f t="shared" si="14"/>
        <v>#N/A</v>
      </c>
      <c r="X89" s="63" t="e">
        <f t="shared" si="14"/>
        <v>#N/A</v>
      </c>
      <c r="Y89" s="63" t="e">
        <f t="shared" si="14"/>
        <v>#N/A</v>
      </c>
      <c r="Z89" s="63" t="e">
        <f t="shared" si="14"/>
        <v>#N/A</v>
      </c>
      <c r="AA89" s="63" t="e">
        <f t="shared" si="14"/>
        <v>#N/A</v>
      </c>
      <c r="AB89" s="63" t="e">
        <f t="shared" si="14"/>
        <v>#N/A</v>
      </c>
      <c r="AC89" s="63" t="e">
        <f t="shared" si="14"/>
        <v>#N/A</v>
      </c>
      <c r="AD89" s="63" t="e">
        <f t="shared" si="14"/>
        <v>#N/A</v>
      </c>
      <c r="AF89" s="35"/>
      <c r="AG89" s="35"/>
      <c r="AI89" s="35"/>
    </row>
    <row r="90" spans="1:39" s="60" customFormat="1" ht="13.5" customHeight="1" thickBot="1" x14ac:dyDescent="0.4">
      <c r="A90" s="73"/>
      <c r="B90" s="73"/>
      <c r="C90" s="74" t="e">
        <f>VLOOKUP(B86,Уч!$A$2:$L$26,12,FALSE)</f>
        <v>#N/A</v>
      </c>
      <c r="D90" s="108"/>
      <c r="E90" s="43" t="s">
        <v>37</v>
      </c>
      <c r="F90" s="75" t="e">
        <f>RANK(F89,$U$19:$U$165,0)</f>
        <v>#N/A</v>
      </c>
      <c r="G90" s="76" t="e">
        <f>RANK(G89,$V$19:$V$165,0)</f>
        <v>#N/A</v>
      </c>
      <c r="H90" s="76" t="e">
        <f>RANK(H89,$W$19:$W$165,0)</f>
        <v>#N/A</v>
      </c>
      <c r="I90" s="76" t="e">
        <f>RANK(I89,$X$19:$X$165,0)</f>
        <v>#N/A</v>
      </c>
      <c r="J90" s="76" t="e">
        <f>RANK(J89,$Y$19:$Y$165,0)</f>
        <v>#N/A</v>
      </c>
      <c r="K90" s="76" t="e">
        <f>RANK(K89,$Z$19:$Z$165,0)</f>
        <v>#N/A</v>
      </c>
      <c r="L90" s="76" t="e">
        <f>RANK(L89,$AA$19:$AA$165,0)</f>
        <v>#N/A</v>
      </c>
      <c r="M90" s="76" t="e">
        <f>RANK(M89,$AB$19:$AB$155,0)</f>
        <v>#N/A</v>
      </c>
      <c r="N90" s="76" t="e">
        <f>RANK(N89,$AC$19:$AC$165,0)</f>
        <v>#N/A</v>
      </c>
      <c r="O90" s="76" t="e">
        <f>RANK(O89,$AD$19:$AD$165,0)</f>
        <v>#N/A</v>
      </c>
      <c r="P90" s="98"/>
      <c r="Q90" s="77"/>
      <c r="R90" s="77"/>
      <c r="S90" s="31" t="e">
        <f>$A86</f>
        <v>#N/A</v>
      </c>
      <c r="T90" s="31">
        <v>5</v>
      </c>
      <c r="U90" s="83"/>
      <c r="V90" s="78"/>
      <c r="W90" s="78"/>
      <c r="X90" s="78"/>
      <c r="Y90" s="78"/>
      <c r="Z90" s="78"/>
      <c r="AA90" s="78"/>
      <c r="AB90" s="79"/>
      <c r="AC90" s="79"/>
      <c r="AD90" s="79"/>
      <c r="AF90" s="35"/>
      <c r="AG90" s="35"/>
      <c r="AI90" s="35"/>
    </row>
    <row r="91" spans="1:39" s="31" customFormat="1" ht="13.5" customHeight="1" thickTop="1" x14ac:dyDescent="0.35">
      <c r="A91" s="35" t="e">
        <f>RANK(P91,$P$16:$P$165,0)</f>
        <v>#N/A</v>
      </c>
      <c r="B91" s="35">
        <v>24</v>
      </c>
      <c r="C91" s="60" t="e">
        <f>VLOOKUP(B91,Уч!$A$2:$L$26,2,FALSE)</f>
        <v>#N/A</v>
      </c>
      <c r="D91" s="107" t="e">
        <f>VLOOKUP(B91,Уч!$A$2:$L$26,3,FALSE)</f>
        <v>#N/A</v>
      </c>
      <c r="E91" s="33" t="s">
        <v>28</v>
      </c>
      <c r="F91" s="61">
        <f>VLOOKUP($B91,'100 м 1'!$C$18:$I$86,5,FALSE)</f>
        <v>11.15</v>
      </c>
      <c r="G91" s="62" t="e">
        <f>VLOOKUP($B91,'длина 2 '!$C$16:$O$54,11,FALSE)</f>
        <v>#N/A</v>
      </c>
      <c r="H91" s="62" t="e">
        <f>VLOOKUP($B91,'ядро 2'!$C$16:$K$60,8,FALSE)</f>
        <v>#N/A</v>
      </c>
      <c r="I91" s="62" t="e">
        <f>VLOOKUP($B91,'высота 2'!$C$16:$AF$57,23,FALSE)</f>
        <v>#N/A</v>
      </c>
      <c r="J91" s="62">
        <f>VLOOKUP($B91,'4_р'!$C$17:$H$73,5,FALSE)</f>
        <v>54.8</v>
      </c>
      <c r="K91" s="62">
        <f>VLOOKUP($B91,'1cб_р'!$C$17:$I$63,5,FALSE)</f>
        <v>17.36</v>
      </c>
      <c r="L91" s="62">
        <f>VLOOKUP($B91,Дс_р!$C$16:$K$70,8,FALSE)</f>
        <v>29.35</v>
      </c>
      <c r="M91" s="62">
        <f>VLOOKUP($B91,Ш_р!$C$15:$AF$69,17,FALSE)</f>
        <v>0</v>
      </c>
      <c r="N91" s="62">
        <f>VLOOKUP($B91,К_р!$C$15:$K$68,8,FALSE)</f>
        <v>45.16</v>
      </c>
      <c r="O91" s="70" t="str">
        <f>VLOOKUP($B91,'15_р'!$C$17:$H$86,5,FALSE)</f>
        <v>4:51.71</v>
      </c>
      <c r="P91" s="96" t="e">
        <f>SUM(F93:O93)</f>
        <v>#N/A</v>
      </c>
      <c r="Q91" s="35" t="e">
        <f>LOOKUP(P91,$V$1:$V$7,$W$1:$W$7)</f>
        <v>#N/A</v>
      </c>
      <c r="R91" s="35"/>
      <c r="S91" s="31" t="e">
        <f>$A91</f>
        <v>#N/A</v>
      </c>
      <c r="T91" s="31">
        <v>1</v>
      </c>
      <c r="U91" s="83"/>
      <c r="V91" s="78"/>
      <c r="W91" s="78"/>
      <c r="X91" s="78"/>
      <c r="Y91" s="78"/>
      <c r="Z91" s="78"/>
      <c r="AA91" s="78"/>
      <c r="AB91" s="79"/>
      <c r="AC91" s="79"/>
      <c r="AD91" s="79"/>
      <c r="AE91" s="60"/>
      <c r="AF91" s="35"/>
      <c r="AG91" s="35"/>
      <c r="AH91" s="60"/>
      <c r="AI91" s="35"/>
      <c r="AJ91" s="60"/>
      <c r="AK91" s="60"/>
      <c r="AL91" s="60"/>
      <c r="AM91" s="60"/>
    </row>
    <row r="92" spans="1:39" s="31" customFormat="1" ht="13.5" customHeight="1" x14ac:dyDescent="0.35">
      <c r="A92" s="35"/>
      <c r="B92" s="35"/>
      <c r="C92" s="66" t="e">
        <f>VLOOKUP(B91,Уч!$A$2:$L$26,5,FALSE)</f>
        <v>#N/A</v>
      </c>
      <c r="D92" s="107" t="e">
        <f>VLOOKUP(B91,Уч!$A$2:$L$26,4,FALSE)</f>
        <v>#N/A</v>
      </c>
      <c r="E92" s="33" t="s">
        <v>97</v>
      </c>
      <c r="F92" s="68">
        <f>VLOOKUP($B91,'100 м 1'!$C$18:$I$86,6,FALSE)</f>
        <v>1</v>
      </c>
      <c r="G92" s="69" t="e">
        <f>VLOOKUP($B91,'длина 2 '!$C$16:$O$54,12,FALSE)</f>
        <v>#N/A</v>
      </c>
      <c r="H92" s="70"/>
      <c r="I92" s="69"/>
      <c r="J92" s="69"/>
      <c r="K92" s="69">
        <f>VLOOKUP($B91,'1cб_р'!$C$17:$I$63,6,FALSE)</f>
        <v>0</v>
      </c>
      <c r="L92" s="69"/>
      <c r="M92" s="69"/>
      <c r="N92" s="70"/>
      <c r="O92" s="70"/>
      <c r="P92" s="97"/>
      <c r="Q92" s="63"/>
      <c r="R92" s="63"/>
      <c r="S92" s="31" t="e">
        <f>$A91</f>
        <v>#N/A</v>
      </c>
      <c r="T92" s="31">
        <v>2</v>
      </c>
      <c r="U92" s="83"/>
      <c r="V92" s="78"/>
      <c r="W92" s="78"/>
      <c r="X92" s="78"/>
      <c r="Y92" s="78"/>
      <c r="Z92" s="78"/>
      <c r="AA92" s="78"/>
      <c r="AB92" s="79"/>
      <c r="AC92" s="79"/>
      <c r="AD92" s="79"/>
      <c r="AE92" s="60"/>
      <c r="AF92" s="35"/>
      <c r="AG92" s="35"/>
      <c r="AH92" s="60"/>
      <c r="AI92" s="35"/>
      <c r="AJ92" s="60"/>
      <c r="AK92" s="60"/>
      <c r="AL92" s="60"/>
      <c r="AM92" s="60"/>
    </row>
    <row r="93" spans="1:39" s="31" customFormat="1" ht="13.5" customHeight="1" x14ac:dyDescent="0.35">
      <c r="A93" s="35"/>
      <c r="B93" s="35"/>
      <c r="C93" s="67" t="e">
        <f>VLOOKUP(B91,Уч!$A$2:$L$26,7,FALSE)</f>
        <v>#N/A</v>
      </c>
      <c r="D93" s="107"/>
      <c r="E93" s="33" t="s">
        <v>77</v>
      </c>
      <c r="F93" s="72">
        <f>VLOOKUP($B91,'100 м 1'!$C$18:$I$86,7,FALSE)</f>
        <v>827</v>
      </c>
      <c r="G93" s="70" t="e">
        <f>VLOOKUP($B91,'длина 2 '!$C$16:$O$54,13,FALSE)</f>
        <v>#N/A</v>
      </c>
      <c r="H93" s="70" t="e">
        <f>VLOOKUP($B91,'ядро 2'!$C$16:$K$60,9,FALSE)</f>
        <v>#N/A</v>
      </c>
      <c r="I93" s="70" t="e">
        <f>VLOOKUP($B91,'высота 2'!$C$16:$AF$57,24,)</f>
        <v>#N/A</v>
      </c>
      <c r="J93" s="70">
        <f>VLOOKUP($B91,'4_р'!$C$17:$H$73,6,FALSE)</f>
        <v>607</v>
      </c>
      <c r="K93" s="70">
        <f>VLOOKUP($B91,'1cб_р'!$C$17:$I$63,7,FALSE)</f>
        <v>587</v>
      </c>
      <c r="L93" s="70">
        <f>VLOOKUP($B91,Дс_р!$C$16:$K$70,9,FALSE)</f>
        <v>452</v>
      </c>
      <c r="M93" s="70">
        <f>VLOOKUP($B91,Ш_р!$C$15:$AF$69,18,FALSE)</f>
        <v>0</v>
      </c>
      <c r="N93" s="70">
        <f>VLOOKUP($B91,К_р!$C$15:$K$68,9,FALSE)</f>
        <v>517</v>
      </c>
      <c r="O93" s="70">
        <f>VLOOKUP($B91,'15_р'!$C$17:$H$86,6,FALSE)</f>
        <v>608</v>
      </c>
      <c r="P93" s="97"/>
      <c r="Q93" s="63"/>
      <c r="R93" s="63"/>
      <c r="S93" s="31" t="e">
        <f>$A91</f>
        <v>#N/A</v>
      </c>
      <c r="T93" s="31">
        <v>3</v>
      </c>
      <c r="U93" s="83"/>
      <c r="V93" s="78"/>
      <c r="W93" s="78"/>
      <c r="X93" s="78"/>
      <c r="Y93" s="78"/>
      <c r="Z93" s="78"/>
      <c r="AA93" s="78"/>
      <c r="AB93" s="79"/>
      <c r="AC93" s="79"/>
      <c r="AD93" s="79"/>
      <c r="AE93" s="60"/>
      <c r="AF93" s="35"/>
      <c r="AG93" s="35"/>
      <c r="AH93" s="60"/>
      <c r="AI93" s="35"/>
      <c r="AJ93" s="60"/>
      <c r="AK93" s="60"/>
      <c r="AL93" s="60"/>
      <c r="AM93" s="60"/>
    </row>
    <row r="94" spans="1:39" s="31" customFormat="1" ht="13.5" customHeight="1" x14ac:dyDescent="0.35">
      <c r="A94" s="35"/>
      <c r="B94" s="35"/>
      <c r="C94" s="66" t="e">
        <f>VLOOKUP(B91,Уч!$A$2:$L$26,11,FALSE)</f>
        <v>#N/A</v>
      </c>
      <c r="D94" s="107"/>
      <c r="E94" s="33" t="s">
        <v>98</v>
      </c>
      <c r="F94" s="72">
        <f>F93</f>
        <v>827</v>
      </c>
      <c r="G94" s="70" t="e">
        <f>F94+G93</f>
        <v>#N/A</v>
      </c>
      <c r="H94" s="70" t="e">
        <f>G94+H93</f>
        <v>#N/A</v>
      </c>
      <c r="I94" s="70" t="e">
        <f>H94+I93</f>
        <v>#N/A</v>
      </c>
      <c r="J94" s="70" t="e">
        <f>SUM($F93:J93)</f>
        <v>#N/A</v>
      </c>
      <c r="K94" s="70" t="e">
        <f>SUM($F93:$K93)</f>
        <v>#N/A</v>
      </c>
      <c r="L94" s="70" t="e">
        <f>K94+L93</f>
        <v>#N/A</v>
      </c>
      <c r="M94" s="70" t="e">
        <f>L94+M93</f>
        <v>#N/A</v>
      </c>
      <c r="N94" s="70" t="e">
        <f>SUM($F93:$N93)</f>
        <v>#N/A</v>
      </c>
      <c r="O94" s="70" t="e">
        <f>SUM($F93:$O93)</f>
        <v>#N/A</v>
      </c>
      <c r="P94" s="97"/>
      <c r="Q94" s="63"/>
      <c r="R94" s="63"/>
      <c r="S94" s="31" t="e">
        <f>$A91</f>
        <v>#N/A</v>
      </c>
      <c r="T94" s="31">
        <v>4</v>
      </c>
      <c r="U94" s="63">
        <f t="shared" ref="U94:AD94" si="15">F94</f>
        <v>827</v>
      </c>
      <c r="V94" s="63" t="e">
        <f t="shared" si="15"/>
        <v>#N/A</v>
      </c>
      <c r="W94" s="63" t="e">
        <f t="shared" si="15"/>
        <v>#N/A</v>
      </c>
      <c r="X94" s="63" t="e">
        <f t="shared" si="15"/>
        <v>#N/A</v>
      </c>
      <c r="Y94" s="63" t="e">
        <f t="shared" si="15"/>
        <v>#N/A</v>
      </c>
      <c r="Z94" s="63" t="e">
        <f t="shared" si="15"/>
        <v>#N/A</v>
      </c>
      <c r="AA94" s="63" t="e">
        <f t="shared" si="15"/>
        <v>#N/A</v>
      </c>
      <c r="AB94" s="63" t="e">
        <f t="shared" si="15"/>
        <v>#N/A</v>
      </c>
      <c r="AC94" s="63" t="e">
        <f t="shared" si="15"/>
        <v>#N/A</v>
      </c>
      <c r="AD94" s="63" t="e">
        <f t="shared" si="15"/>
        <v>#N/A</v>
      </c>
      <c r="AE94" s="60"/>
      <c r="AF94" s="35"/>
      <c r="AG94" s="35"/>
      <c r="AH94" s="60"/>
      <c r="AI94" s="35"/>
      <c r="AJ94" s="60"/>
      <c r="AK94" s="60"/>
      <c r="AL94" s="60"/>
      <c r="AM94" s="60"/>
    </row>
    <row r="95" spans="1:39" s="31" customFormat="1" ht="13.5" customHeight="1" thickBot="1" x14ac:dyDescent="0.4">
      <c r="A95" s="73"/>
      <c r="B95" s="73"/>
      <c r="C95" s="74" t="e">
        <f>VLOOKUP(B91,Уч!$A$2:$L$26,12,FALSE)</f>
        <v>#N/A</v>
      </c>
      <c r="D95" s="108"/>
      <c r="E95" s="43" t="s">
        <v>37</v>
      </c>
      <c r="F95" s="75" t="e">
        <f>RANK(F94,$U$19:$U$165,0)</f>
        <v>#N/A</v>
      </c>
      <c r="G95" s="76" t="e">
        <f>RANK(G94,$V$19:$V$165,0)</f>
        <v>#N/A</v>
      </c>
      <c r="H95" s="76" t="e">
        <f>RANK(H94,$W$19:$W$165,0)</f>
        <v>#N/A</v>
      </c>
      <c r="I95" s="76" t="e">
        <f>RANK(I94,$X$19:$X$165,0)</f>
        <v>#N/A</v>
      </c>
      <c r="J95" s="76" t="e">
        <f>RANK(J94,$Y$19:$Y$165,0)</f>
        <v>#N/A</v>
      </c>
      <c r="K95" s="76" t="e">
        <f>RANK(K94,$Z$19:$Z$165,0)</f>
        <v>#N/A</v>
      </c>
      <c r="L95" s="76" t="e">
        <f>RANK(L94,$AA$19:$AA$165,0)</f>
        <v>#N/A</v>
      </c>
      <c r="M95" s="76" t="e">
        <f>RANK(M94,$AB$19:$AB$155,0)</f>
        <v>#N/A</v>
      </c>
      <c r="N95" s="76" t="e">
        <f>RANK(N94,$AC$19:$AC$165,0)</f>
        <v>#N/A</v>
      </c>
      <c r="O95" s="76" t="e">
        <f>RANK(O94,$AD$19:$AD$165,0)</f>
        <v>#N/A</v>
      </c>
      <c r="P95" s="98"/>
      <c r="Q95" s="77"/>
      <c r="R95" s="77"/>
      <c r="S95" s="31" t="e">
        <f>$A91</f>
        <v>#N/A</v>
      </c>
      <c r="T95" s="31">
        <v>5</v>
      </c>
      <c r="U95" s="83"/>
      <c r="V95" s="78"/>
      <c r="W95" s="78"/>
      <c r="X95" s="78"/>
      <c r="Y95" s="78"/>
      <c r="Z95" s="78"/>
      <c r="AA95" s="78"/>
      <c r="AB95" s="79"/>
      <c r="AC95" s="79"/>
      <c r="AD95" s="79"/>
      <c r="AE95" s="60"/>
      <c r="AF95" s="35"/>
      <c r="AG95" s="35"/>
      <c r="AH95" s="60"/>
      <c r="AI95" s="35"/>
      <c r="AJ95" s="60"/>
      <c r="AK95" s="60"/>
      <c r="AL95" s="60"/>
      <c r="AM95" s="60"/>
    </row>
    <row r="96" spans="1:39" s="60" customFormat="1" ht="13.5" customHeight="1" thickTop="1" x14ac:dyDescent="0.35">
      <c r="A96" s="35" t="e">
        <f>RANK(P96,$P$16:$P$165,0)</f>
        <v>#N/A</v>
      </c>
      <c r="B96" s="35">
        <v>84</v>
      </c>
      <c r="C96" s="60" t="e">
        <f>VLOOKUP(B96,Уч!$A$2:$L$26,2,FALSE)</f>
        <v>#N/A</v>
      </c>
      <c r="D96" s="107" t="e">
        <f>VLOOKUP(B96,Уч!$A$2:$L$26,3,FALSE)</f>
        <v>#N/A</v>
      </c>
      <c r="E96" s="33" t="s">
        <v>28</v>
      </c>
      <c r="F96" s="61" t="e">
        <f>VLOOKUP($B96,'100 м 1'!$C$18:$I$86,5,FALSE)</f>
        <v>#N/A</v>
      </c>
      <c r="G96" s="62" t="e">
        <f>VLOOKUP($B96,'длина 2 '!$C$16:$O$54,11,FALSE)</f>
        <v>#N/A</v>
      </c>
      <c r="H96" s="62" t="e">
        <f>VLOOKUP($B96,'ядро 2'!$C$16:$K$60,8,FALSE)</f>
        <v>#N/A</v>
      </c>
      <c r="I96" s="62" t="e">
        <f>VLOOKUP($B96,'высота 2'!$C$16:$AF$57,23,FALSE)</f>
        <v>#N/A</v>
      </c>
      <c r="J96" s="62" t="e">
        <f>VLOOKUP($B96,'4_р'!$C$17:$H$73,5,FALSE)</f>
        <v>#N/A</v>
      </c>
      <c r="K96" s="62" t="e">
        <f>VLOOKUP($B96,'1cб_р'!$C$17:$I$63,5,FALSE)</f>
        <v>#N/A</v>
      </c>
      <c r="L96" s="62" t="e">
        <f>VLOOKUP($B96,Дс_р!$C$16:$K$70,8,FALSE)</f>
        <v>#N/A</v>
      </c>
      <c r="M96" s="62" t="e">
        <f>VLOOKUP($B96,Ш_р!$C$15:$AF$69,17,FALSE)</f>
        <v>#N/A</v>
      </c>
      <c r="N96" s="62" t="e">
        <f>VLOOKUP($B96,К_р!$C$15:$K$68,8,FALSE)</f>
        <v>#N/A</v>
      </c>
      <c r="O96" s="70" t="e">
        <f>VLOOKUP($B96,'15_р'!$C$17:$H$86,5,FALSE)</f>
        <v>#N/A</v>
      </c>
      <c r="P96" s="97" t="e">
        <f>SUM(F98:O98)</f>
        <v>#N/A</v>
      </c>
      <c r="Q96" s="35" t="e">
        <f>LOOKUP(P96,$V$1:$V$7,$W$1:$W$7)</f>
        <v>#N/A</v>
      </c>
      <c r="R96" s="35"/>
      <c r="S96" s="31" t="e">
        <f>$A96</f>
        <v>#N/A</v>
      </c>
      <c r="T96" s="31">
        <v>1</v>
      </c>
      <c r="U96" s="83"/>
      <c r="V96" s="78"/>
      <c r="W96" s="78"/>
      <c r="X96" s="78"/>
      <c r="Y96" s="78"/>
      <c r="Z96" s="78"/>
      <c r="AA96" s="78"/>
      <c r="AB96" s="79"/>
      <c r="AC96" s="79"/>
      <c r="AD96" s="79"/>
      <c r="AF96" s="35"/>
      <c r="AG96" s="35"/>
      <c r="AI96" s="35"/>
    </row>
    <row r="97" spans="1:35" s="60" customFormat="1" ht="13.5" customHeight="1" x14ac:dyDescent="0.35">
      <c r="A97" s="35"/>
      <c r="B97" s="35"/>
      <c r="C97" s="66" t="e">
        <f>VLOOKUP(B96,Уч!$A$2:$L$26,5,FALSE)</f>
        <v>#N/A</v>
      </c>
      <c r="D97" s="109" t="e">
        <f>VLOOKUP(B96,Уч!$A$2:$L$26,4,FALSE)</f>
        <v>#N/A</v>
      </c>
      <c r="E97" s="33" t="s">
        <v>97</v>
      </c>
      <c r="F97" s="68" t="e">
        <f>VLOOKUP($B96,'100 м 1'!$C$18:$I$86,6,FALSE)</f>
        <v>#N/A</v>
      </c>
      <c r="G97" s="69" t="e">
        <f>VLOOKUP($B96,'длина 2 '!$C$16:$O$54,12,FALSE)</f>
        <v>#N/A</v>
      </c>
      <c r="H97" s="70"/>
      <c r="I97" s="69"/>
      <c r="J97" s="69"/>
      <c r="K97" s="69" t="e">
        <f>VLOOKUP($B96,'1cб_р'!$C$17:$I$63,6,FALSE)</f>
        <v>#N/A</v>
      </c>
      <c r="L97" s="69"/>
      <c r="M97" s="69"/>
      <c r="N97" s="70"/>
      <c r="O97" s="70"/>
      <c r="P97" s="97"/>
      <c r="Q97" s="36"/>
      <c r="R97" s="63"/>
      <c r="S97" s="31" t="e">
        <f>$A96</f>
        <v>#N/A</v>
      </c>
      <c r="T97" s="31">
        <v>2</v>
      </c>
      <c r="U97" s="83"/>
      <c r="V97" s="78"/>
      <c r="W97" s="78"/>
      <c r="X97" s="78"/>
      <c r="Y97" s="78"/>
      <c r="Z97" s="78"/>
      <c r="AA97" s="78"/>
      <c r="AB97" s="79"/>
      <c r="AC97" s="79"/>
      <c r="AD97" s="79"/>
      <c r="AF97" s="35"/>
      <c r="AG97" s="35"/>
      <c r="AI97" s="35"/>
    </row>
    <row r="98" spans="1:35" s="60" customFormat="1" ht="13.5" customHeight="1" x14ac:dyDescent="0.35">
      <c r="A98" s="35"/>
      <c r="B98" s="35"/>
      <c r="C98" s="67" t="e">
        <f>VLOOKUP(B96,Уч!$A$2:$L$26,7,FALSE)</f>
        <v>#N/A</v>
      </c>
      <c r="D98" s="109"/>
      <c r="E98" s="33" t="s">
        <v>77</v>
      </c>
      <c r="F98" s="72" t="e">
        <f>VLOOKUP($B96,'100 м 1'!$C$18:$I$86,7,FALSE)</f>
        <v>#N/A</v>
      </c>
      <c r="G98" s="70" t="e">
        <f>VLOOKUP($B96,'длина 2 '!$C$16:$O$54,13,FALSE)</f>
        <v>#N/A</v>
      </c>
      <c r="H98" s="70" t="e">
        <f>VLOOKUP($B96,'ядро 2'!$C$16:$K$60,9,FALSE)</f>
        <v>#N/A</v>
      </c>
      <c r="I98" s="70" t="e">
        <f>VLOOKUP($B96,'высота 2'!$C$16:$AF$57,24,)</f>
        <v>#N/A</v>
      </c>
      <c r="J98" s="70" t="e">
        <f>VLOOKUP($B96,'4_р'!$C$17:$H$73,6,FALSE)</f>
        <v>#N/A</v>
      </c>
      <c r="K98" s="70" t="e">
        <f>VLOOKUP($B96,'1cб_р'!$C$17:$I$63,7,FALSE)</f>
        <v>#N/A</v>
      </c>
      <c r="L98" s="70" t="e">
        <f>VLOOKUP($B96,Дс_р!$C$16:$K$70,9,FALSE)</f>
        <v>#N/A</v>
      </c>
      <c r="M98" s="70" t="e">
        <f>VLOOKUP($B96,Ш_р!$C$15:$AF$69,18,FALSE)</f>
        <v>#N/A</v>
      </c>
      <c r="N98" s="70" t="e">
        <f>VLOOKUP($B96,К_р!$C$15:$K$68,9,FALSE)</f>
        <v>#N/A</v>
      </c>
      <c r="O98" s="70" t="e">
        <f>VLOOKUP($B96,'15_р'!$C$17:$H$86,6,FALSE)</f>
        <v>#N/A</v>
      </c>
      <c r="P98" s="97"/>
      <c r="Q98" s="36"/>
      <c r="R98" s="63"/>
      <c r="S98" s="31" t="e">
        <f>$A96</f>
        <v>#N/A</v>
      </c>
      <c r="T98" s="31">
        <v>3</v>
      </c>
      <c r="U98" s="83"/>
      <c r="V98" s="78"/>
      <c r="W98" s="78"/>
      <c r="X98" s="78"/>
      <c r="Y98" s="78"/>
      <c r="Z98" s="78"/>
      <c r="AA98" s="78"/>
      <c r="AB98" s="79"/>
      <c r="AC98" s="79"/>
      <c r="AD98" s="79"/>
      <c r="AF98" s="35"/>
      <c r="AG98" s="35"/>
      <c r="AI98" s="35"/>
    </row>
    <row r="99" spans="1:35" s="60" customFormat="1" ht="13.5" customHeight="1" x14ac:dyDescent="0.35">
      <c r="A99" s="35"/>
      <c r="B99" s="35"/>
      <c r="C99" s="66" t="e">
        <f>VLOOKUP(B96,Уч!$A$2:$L$26,11,FALSE)</f>
        <v>#N/A</v>
      </c>
      <c r="D99" s="109"/>
      <c r="E99" s="33" t="s">
        <v>98</v>
      </c>
      <c r="F99" s="72" t="e">
        <f>F98</f>
        <v>#N/A</v>
      </c>
      <c r="G99" s="70" t="e">
        <f>F99+G98</f>
        <v>#N/A</v>
      </c>
      <c r="H99" s="70" t="e">
        <f>G99+H98</f>
        <v>#N/A</v>
      </c>
      <c r="I99" s="70" t="e">
        <f>H99+I98</f>
        <v>#N/A</v>
      </c>
      <c r="J99" s="70" t="e">
        <f>SUM($F98:J98)</f>
        <v>#N/A</v>
      </c>
      <c r="K99" s="70" t="e">
        <f>SUM($F98:$K98)</f>
        <v>#N/A</v>
      </c>
      <c r="L99" s="70" t="e">
        <f>K99+L98</f>
        <v>#N/A</v>
      </c>
      <c r="M99" s="70" t="e">
        <f>L99+M98</f>
        <v>#N/A</v>
      </c>
      <c r="N99" s="70" t="e">
        <f>SUM($F98:$N98)</f>
        <v>#N/A</v>
      </c>
      <c r="O99" s="70" t="e">
        <f>SUM($F98:$O98)</f>
        <v>#N/A</v>
      </c>
      <c r="P99" s="97"/>
      <c r="Q99" s="36"/>
      <c r="R99" s="63"/>
      <c r="S99" s="31" t="e">
        <f>$A96</f>
        <v>#N/A</v>
      </c>
      <c r="T99" s="31">
        <v>4</v>
      </c>
      <c r="U99" s="63" t="e">
        <f t="shared" ref="U99:AD99" si="16">F99</f>
        <v>#N/A</v>
      </c>
      <c r="V99" s="63" t="e">
        <f t="shared" si="16"/>
        <v>#N/A</v>
      </c>
      <c r="W99" s="63" t="e">
        <f t="shared" si="16"/>
        <v>#N/A</v>
      </c>
      <c r="X99" s="63" t="e">
        <f t="shared" si="16"/>
        <v>#N/A</v>
      </c>
      <c r="Y99" s="63" t="e">
        <f t="shared" si="16"/>
        <v>#N/A</v>
      </c>
      <c r="Z99" s="63" t="e">
        <f t="shared" si="16"/>
        <v>#N/A</v>
      </c>
      <c r="AA99" s="63" t="e">
        <f t="shared" si="16"/>
        <v>#N/A</v>
      </c>
      <c r="AB99" s="63" t="e">
        <f t="shared" si="16"/>
        <v>#N/A</v>
      </c>
      <c r="AC99" s="63" t="e">
        <f t="shared" si="16"/>
        <v>#N/A</v>
      </c>
      <c r="AD99" s="63" t="e">
        <f t="shared" si="16"/>
        <v>#N/A</v>
      </c>
      <c r="AF99" s="35"/>
      <c r="AG99" s="35"/>
      <c r="AI99" s="35"/>
    </row>
    <row r="100" spans="1:35" s="60" customFormat="1" ht="13.5" customHeight="1" thickBot="1" x14ac:dyDescent="0.4">
      <c r="A100" s="73"/>
      <c r="B100" s="73"/>
      <c r="C100" s="74" t="e">
        <f>VLOOKUP(B96,Уч!$A$2:$L$26,12,FALSE)</f>
        <v>#N/A</v>
      </c>
      <c r="D100" s="110"/>
      <c r="E100" s="43" t="s">
        <v>37</v>
      </c>
      <c r="F100" s="75" t="e">
        <f>RANK(F99,$U$19:$U$165,0)</f>
        <v>#N/A</v>
      </c>
      <c r="G100" s="76" t="e">
        <f>RANK(G99,$V$19:$V$165,0)</f>
        <v>#N/A</v>
      </c>
      <c r="H100" s="76" t="e">
        <f>RANK(H99,$W$19:$W$165,0)</f>
        <v>#N/A</v>
      </c>
      <c r="I100" s="76" t="e">
        <f>RANK(I99,$X$19:$X$165,0)</f>
        <v>#N/A</v>
      </c>
      <c r="J100" s="76" t="e">
        <f>RANK(J99,$Y$19:$Y$165,0)</f>
        <v>#N/A</v>
      </c>
      <c r="K100" s="76" t="e">
        <f>RANK(K99,$Z$19:$Z$165,0)</f>
        <v>#N/A</v>
      </c>
      <c r="L100" s="76" t="e">
        <f>RANK(L99,$AA$19:$AA$165,0)</f>
        <v>#N/A</v>
      </c>
      <c r="M100" s="76" t="e">
        <f>RANK(M99,$AB$19:$AB$155,0)</f>
        <v>#N/A</v>
      </c>
      <c r="N100" s="76" t="e">
        <f>RANK(N99,$AC$19:$AC$165,0)</f>
        <v>#N/A</v>
      </c>
      <c r="O100" s="76" t="e">
        <f>RANK(O99,$AD$19:$AD$165,0)</f>
        <v>#N/A</v>
      </c>
      <c r="P100" s="98"/>
      <c r="Q100" s="50"/>
      <c r="R100" s="77"/>
      <c r="S100" s="31" t="e">
        <f>$A96</f>
        <v>#N/A</v>
      </c>
      <c r="T100" s="31">
        <v>5</v>
      </c>
      <c r="U100" s="83"/>
      <c r="V100" s="78"/>
      <c r="W100" s="78"/>
      <c r="X100" s="78"/>
      <c r="Y100" s="78"/>
      <c r="Z100" s="78"/>
      <c r="AA100" s="78"/>
      <c r="AB100" s="79"/>
      <c r="AC100" s="79"/>
      <c r="AD100" s="79"/>
      <c r="AF100" s="35"/>
      <c r="AG100" s="35"/>
      <c r="AI100" s="35"/>
    </row>
    <row r="101" spans="1:35" s="60" customFormat="1" ht="13.5" customHeight="1" thickTop="1" x14ac:dyDescent="0.35">
      <c r="A101" s="35" t="e">
        <f>RANK(P101,$P$16:$P$165,0)</f>
        <v>#N/A</v>
      </c>
      <c r="B101" s="35">
        <v>106</v>
      </c>
      <c r="C101" s="60" t="e">
        <f>VLOOKUP(B101,Уч!$A$2:$L$26,2,FALSE)</f>
        <v>#N/A</v>
      </c>
      <c r="D101" s="107" t="e">
        <f>VLOOKUP(B101,Уч!$A$2:$L$26,3,FALSE)</f>
        <v>#N/A</v>
      </c>
      <c r="E101" s="33" t="s">
        <v>28</v>
      </c>
      <c r="F101" s="61" t="e">
        <f>VLOOKUP($B101,'100 м 1'!$C$18:$I$86,5,FALSE)</f>
        <v>#N/A</v>
      </c>
      <c r="G101" s="62" t="e">
        <f>VLOOKUP($B101,'длина 2 '!$C$16:$O$54,11,FALSE)</f>
        <v>#N/A</v>
      </c>
      <c r="H101" s="62" t="e">
        <f>VLOOKUP($B101,'ядро 2'!$C$16:$K$60,8,FALSE)</f>
        <v>#N/A</v>
      </c>
      <c r="I101" s="62" t="e">
        <f>VLOOKUP($B101,'высота 2'!$C$16:$AF$57,23,FALSE)</f>
        <v>#N/A</v>
      </c>
      <c r="J101" s="62" t="e">
        <f>VLOOKUP($B101,'4_р'!$C$17:$H$73,5,FALSE)</f>
        <v>#N/A</v>
      </c>
      <c r="K101" s="62" t="e">
        <f>VLOOKUP($B101,'1cб_р'!$C$17:$I$63,5,FALSE)</f>
        <v>#N/A</v>
      </c>
      <c r="L101" s="62" t="e">
        <f>VLOOKUP($B101,Дс_р!$C$16:$K$70,8,FALSE)</f>
        <v>#N/A</v>
      </c>
      <c r="M101" s="62" t="e">
        <f>VLOOKUP($B101,Ш_р!$C$15:$AF$69,17,FALSE)</f>
        <v>#N/A</v>
      </c>
      <c r="N101" s="62" t="e">
        <f>VLOOKUP($B101,К_р!$C$15:$K$68,8,FALSE)</f>
        <v>#N/A</v>
      </c>
      <c r="O101" s="70" t="e">
        <f>VLOOKUP($B101,'15_р'!$C$17:$H$86,5,FALSE)</f>
        <v>#N/A</v>
      </c>
      <c r="P101" s="97" t="e">
        <f>SUM(F103:O103)</f>
        <v>#N/A</v>
      </c>
      <c r="Q101" s="35" t="e">
        <f>LOOKUP(P101,$V$1:$V$7,$W$1:$W$7)</f>
        <v>#N/A</v>
      </c>
      <c r="R101" s="35" t="s">
        <v>106</v>
      </c>
      <c r="S101" s="31" t="e">
        <f>$A101</f>
        <v>#N/A</v>
      </c>
      <c r="T101" s="31">
        <v>1</v>
      </c>
      <c r="U101" s="83"/>
      <c r="V101" s="78"/>
      <c r="W101" s="78"/>
      <c r="X101" s="78"/>
      <c r="Y101" s="78"/>
      <c r="Z101" s="78"/>
      <c r="AA101" s="78"/>
      <c r="AB101" s="79"/>
      <c r="AC101" s="79"/>
      <c r="AD101" s="79"/>
      <c r="AF101" s="35"/>
      <c r="AG101" s="35"/>
      <c r="AI101" s="35"/>
    </row>
    <row r="102" spans="1:35" s="60" customFormat="1" ht="13.5" customHeight="1" x14ac:dyDescent="0.35">
      <c r="A102" s="35"/>
      <c r="B102" s="35"/>
      <c r="C102" s="66" t="e">
        <f>VLOOKUP(B101,Уч!$A$2:$L$26,5,FALSE)</f>
        <v>#N/A</v>
      </c>
      <c r="D102" s="107" t="e">
        <f>VLOOKUP(B101,Уч!$A$2:$L$26,4,FALSE)</f>
        <v>#N/A</v>
      </c>
      <c r="E102" s="33" t="s">
        <v>97</v>
      </c>
      <c r="F102" s="68" t="e">
        <f>VLOOKUP($B101,'100 м 1'!$C$18:$I$86,6,FALSE)</f>
        <v>#N/A</v>
      </c>
      <c r="G102" s="69" t="e">
        <f>VLOOKUP($B101,'длина 2 '!$C$16:$O$54,12,FALSE)</f>
        <v>#N/A</v>
      </c>
      <c r="H102" s="70"/>
      <c r="I102" s="69"/>
      <c r="J102" s="69"/>
      <c r="K102" s="69" t="e">
        <f>VLOOKUP($B101,'1cб_р'!$C$17:$I$63,6,FALSE)</f>
        <v>#N/A</v>
      </c>
      <c r="L102" s="69"/>
      <c r="M102" s="69"/>
      <c r="N102" s="70"/>
      <c r="O102" s="70"/>
      <c r="P102" s="97"/>
      <c r="Q102" s="80"/>
      <c r="R102" s="63"/>
      <c r="S102" s="31" t="e">
        <f>$A101</f>
        <v>#N/A</v>
      </c>
      <c r="T102" s="31">
        <v>2</v>
      </c>
      <c r="U102" s="83"/>
      <c r="V102" s="78"/>
      <c r="W102" s="78"/>
      <c r="X102" s="78"/>
      <c r="Y102" s="78"/>
      <c r="Z102" s="78"/>
      <c r="AA102" s="78"/>
      <c r="AB102" s="79"/>
      <c r="AC102" s="79"/>
      <c r="AD102" s="79"/>
      <c r="AF102" s="35"/>
      <c r="AG102" s="35"/>
      <c r="AI102" s="35"/>
    </row>
    <row r="103" spans="1:35" s="60" customFormat="1" ht="13.5" customHeight="1" x14ac:dyDescent="0.35">
      <c r="A103" s="35"/>
      <c r="B103" s="35"/>
      <c r="C103" s="67" t="e">
        <f>VLOOKUP(B101,Уч!$A$2:$L$26,7,FALSE)</f>
        <v>#N/A</v>
      </c>
      <c r="D103" s="107"/>
      <c r="E103" s="33" t="s">
        <v>77</v>
      </c>
      <c r="F103" s="72" t="e">
        <f>VLOOKUP($B101,'100 м 1'!$C$18:$I$86,7,FALSE)</f>
        <v>#N/A</v>
      </c>
      <c r="G103" s="70" t="e">
        <f>VLOOKUP($B101,'длина 2 '!$C$16:$O$54,13,FALSE)</f>
        <v>#N/A</v>
      </c>
      <c r="H103" s="70" t="e">
        <f>VLOOKUP($B101,'ядро 2'!$C$16:$K$60,9,FALSE)</f>
        <v>#N/A</v>
      </c>
      <c r="I103" s="70" t="e">
        <f>VLOOKUP($B101,'высота 2'!$C$16:$AF$57,24,)</f>
        <v>#N/A</v>
      </c>
      <c r="J103" s="70" t="e">
        <f>VLOOKUP($B101,'4_р'!$C$17:$H$73,6,FALSE)</f>
        <v>#N/A</v>
      </c>
      <c r="K103" s="70" t="e">
        <f>VLOOKUP($B101,'1cб_р'!$C$17:$I$63,7,FALSE)</f>
        <v>#N/A</v>
      </c>
      <c r="L103" s="70" t="e">
        <f>VLOOKUP($B101,Дс_р!$C$16:$K$70,9,FALSE)</f>
        <v>#N/A</v>
      </c>
      <c r="M103" s="70" t="e">
        <f>VLOOKUP($B101,Ш_р!$C$15:$AF$69,18,FALSE)</f>
        <v>#N/A</v>
      </c>
      <c r="N103" s="70" t="e">
        <f>VLOOKUP($B101,К_р!$C$15:$K$68,9,FALSE)</f>
        <v>#N/A</v>
      </c>
      <c r="O103" s="70" t="e">
        <f>VLOOKUP($B101,'15_р'!$C$17:$H$86,6,FALSE)</f>
        <v>#N/A</v>
      </c>
      <c r="P103" s="97"/>
      <c r="Q103" s="80"/>
      <c r="R103" s="63"/>
      <c r="S103" s="31" t="e">
        <f>$A101</f>
        <v>#N/A</v>
      </c>
      <c r="T103" s="31">
        <v>3</v>
      </c>
      <c r="U103" s="83"/>
      <c r="V103" s="78"/>
      <c r="W103" s="78"/>
      <c r="X103" s="78"/>
      <c r="Y103" s="78"/>
      <c r="Z103" s="78"/>
      <c r="AA103" s="78"/>
      <c r="AB103" s="79"/>
      <c r="AC103" s="79"/>
      <c r="AD103" s="79"/>
      <c r="AF103" s="35"/>
      <c r="AG103" s="35"/>
      <c r="AI103" s="35"/>
    </row>
    <row r="104" spans="1:35" s="60" customFormat="1" ht="13.5" customHeight="1" x14ac:dyDescent="0.35">
      <c r="A104" s="35"/>
      <c r="B104" s="35"/>
      <c r="C104" s="66" t="e">
        <f>VLOOKUP(B101,Уч!$A$2:$L$26,11,FALSE)</f>
        <v>#N/A</v>
      </c>
      <c r="D104" s="107"/>
      <c r="E104" s="33" t="s">
        <v>98</v>
      </c>
      <c r="F104" s="72" t="e">
        <f>F103</f>
        <v>#N/A</v>
      </c>
      <c r="G104" s="70" t="e">
        <f>F104+G103</f>
        <v>#N/A</v>
      </c>
      <c r="H104" s="70" t="e">
        <f>G104+H103</f>
        <v>#N/A</v>
      </c>
      <c r="I104" s="70" t="e">
        <f>H104+I103</f>
        <v>#N/A</v>
      </c>
      <c r="J104" s="70" t="e">
        <f>SUM($F103:J103)</f>
        <v>#N/A</v>
      </c>
      <c r="K104" s="70" t="e">
        <f>SUM($F103:$K103)</f>
        <v>#N/A</v>
      </c>
      <c r="L104" s="70" t="e">
        <f>K104+L103</f>
        <v>#N/A</v>
      </c>
      <c r="M104" s="70" t="e">
        <f>L104+M103</f>
        <v>#N/A</v>
      </c>
      <c r="N104" s="70" t="e">
        <f>SUM($F103:$N103)</f>
        <v>#N/A</v>
      </c>
      <c r="O104" s="70" t="e">
        <f>SUM($F103:$O103)</f>
        <v>#N/A</v>
      </c>
      <c r="P104" s="97"/>
      <c r="Q104" s="80"/>
      <c r="R104" s="63"/>
      <c r="S104" s="31" t="e">
        <f>$A101</f>
        <v>#N/A</v>
      </c>
      <c r="T104" s="31">
        <v>4</v>
      </c>
      <c r="U104" s="63" t="e">
        <f t="shared" ref="U104:AD104" si="17">F104</f>
        <v>#N/A</v>
      </c>
      <c r="V104" s="63" t="e">
        <f t="shared" si="17"/>
        <v>#N/A</v>
      </c>
      <c r="W104" s="63" t="e">
        <f t="shared" si="17"/>
        <v>#N/A</v>
      </c>
      <c r="X104" s="63" t="e">
        <f t="shared" si="17"/>
        <v>#N/A</v>
      </c>
      <c r="Y104" s="63" t="e">
        <f t="shared" si="17"/>
        <v>#N/A</v>
      </c>
      <c r="Z104" s="63" t="e">
        <f t="shared" si="17"/>
        <v>#N/A</v>
      </c>
      <c r="AA104" s="63" t="e">
        <f t="shared" si="17"/>
        <v>#N/A</v>
      </c>
      <c r="AB104" s="63" t="e">
        <f t="shared" si="17"/>
        <v>#N/A</v>
      </c>
      <c r="AC104" s="63" t="e">
        <f t="shared" si="17"/>
        <v>#N/A</v>
      </c>
      <c r="AD104" s="63" t="e">
        <f t="shared" si="17"/>
        <v>#N/A</v>
      </c>
      <c r="AF104" s="35"/>
      <c r="AG104" s="35"/>
      <c r="AI104" s="35"/>
    </row>
    <row r="105" spans="1:35" s="60" customFormat="1" ht="13.5" customHeight="1" thickBot="1" x14ac:dyDescent="0.4">
      <c r="A105" s="73"/>
      <c r="B105" s="73"/>
      <c r="C105" s="74" t="e">
        <f>VLOOKUP(B101,Уч!$A$2:$L$26,12,FALSE)</f>
        <v>#N/A</v>
      </c>
      <c r="D105" s="108"/>
      <c r="E105" s="43" t="s">
        <v>37</v>
      </c>
      <c r="F105" s="75" t="e">
        <f>RANK(F104,$U$19:$U$165,0)</f>
        <v>#N/A</v>
      </c>
      <c r="G105" s="76" t="e">
        <f>RANK(G104,$V$19:$V$165,0)</f>
        <v>#N/A</v>
      </c>
      <c r="H105" s="76" t="e">
        <f>RANK(H104,$W$19:$W$165,0)</f>
        <v>#N/A</v>
      </c>
      <c r="I105" s="76" t="e">
        <f>RANK(I104,$X$19:$X$165,0)</f>
        <v>#N/A</v>
      </c>
      <c r="J105" s="76" t="e">
        <f>RANK(J104,$Y$19:$Y$165,0)</f>
        <v>#N/A</v>
      </c>
      <c r="K105" s="76" t="e">
        <f>RANK(K104,$Z$19:$Z$165,0)</f>
        <v>#N/A</v>
      </c>
      <c r="L105" s="76" t="e">
        <f>RANK(L104,$AA$19:$AA$165,0)</f>
        <v>#N/A</v>
      </c>
      <c r="M105" s="76" t="e">
        <f>RANK(M104,$AB$19:$AB$155,0)</f>
        <v>#N/A</v>
      </c>
      <c r="N105" s="76" t="e">
        <f>RANK(N104,$AC$19:$AC$165,0)</f>
        <v>#N/A</v>
      </c>
      <c r="O105" s="76" t="e">
        <f>RANK(O104,$AD$19:$AD$165,0)</f>
        <v>#N/A</v>
      </c>
      <c r="P105" s="98"/>
      <c r="Q105" s="81"/>
      <c r="R105" s="77"/>
      <c r="S105" s="31" t="e">
        <f>$A101</f>
        <v>#N/A</v>
      </c>
      <c r="T105" s="31">
        <v>5</v>
      </c>
      <c r="U105" s="83"/>
      <c r="V105" s="78"/>
      <c r="W105" s="78"/>
      <c r="X105" s="78"/>
      <c r="Y105" s="78"/>
      <c r="Z105" s="78"/>
      <c r="AA105" s="78"/>
      <c r="AB105" s="79"/>
      <c r="AC105" s="79"/>
      <c r="AD105" s="79"/>
      <c r="AF105" s="35"/>
      <c r="AG105" s="35"/>
      <c r="AI105" s="35"/>
    </row>
    <row r="106" spans="1:35" s="60" customFormat="1" ht="13.5" customHeight="1" thickTop="1" x14ac:dyDescent="0.35">
      <c r="A106" s="35" t="e">
        <f>RANK(P106,$P$16:$P$165,0)</f>
        <v>#N/A</v>
      </c>
      <c r="B106" s="35">
        <v>56</v>
      </c>
      <c r="C106" s="60" t="e">
        <f>VLOOKUP(B106,Уч!$A$2:$L$26,2,FALSE)</f>
        <v>#N/A</v>
      </c>
      <c r="D106" s="107" t="e">
        <f>VLOOKUP(B106,Уч!$A$2:$L$26,3,FALSE)</f>
        <v>#N/A</v>
      </c>
      <c r="E106" s="33" t="s">
        <v>28</v>
      </c>
      <c r="F106" s="61" t="e">
        <f>VLOOKUP($B106,'100 м 1'!$C$18:$I$86,5,FALSE)</f>
        <v>#N/A</v>
      </c>
      <c r="G106" s="62" t="e">
        <f>VLOOKUP($B106,'длина 2 '!$C$16:$O$54,11,FALSE)</f>
        <v>#N/A</v>
      </c>
      <c r="H106" s="62" t="e">
        <f>VLOOKUP($B106,'ядро 2'!$C$16:$K$60,8,FALSE)</f>
        <v>#N/A</v>
      </c>
      <c r="I106" s="62" t="e">
        <f>VLOOKUP($B106,'высота 2'!$C$16:$AF$57,23,FALSE)</f>
        <v>#N/A</v>
      </c>
      <c r="J106" s="62">
        <f>VLOOKUP($B106,'4_р'!$C$17:$H$73,5,FALSE)</f>
        <v>0</v>
      </c>
      <c r="K106" s="62">
        <f>VLOOKUP($B106,'1cб_р'!$C$17:$I$63,5,FALSE)</f>
        <v>0</v>
      </c>
      <c r="L106" s="62">
        <f>VLOOKUP($B106,Дс_р!$C$16:$K$70,8,FALSE)</f>
        <v>37.44</v>
      </c>
      <c r="M106" s="62">
        <f>VLOOKUP($B106,Ш_р!$C$15:$AF$69,17,FALSE)</f>
        <v>0</v>
      </c>
      <c r="N106" s="62">
        <f>VLOOKUP($B106,К_р!$C$15:$K$68,8,FALSE)</f>
        <v>46.68</v>
      </c>
      <c r="O106" s="70">
        <f>VLOOKUP($B106,'15_р'!$C$17:$H$86,5,FALSE)</f>
        <v>0</v>
      </c>
      <c r="P106" s="97" t="e">
        <f>SUM(F108:O108)</f>
        <v>#N/A</v>
      </c>
      <c r="Q106" s="35" t="e">
        <f>LOOKUP(P106,$V$1:$V$7,$W$1:$W$7)</f>
        <v>#N/A</v>
      </c>
      <c r="R106" s="35"/>
      <c r="S106" s="31" t="e">
        <f>$A106</f>
        <v>#N/A</v>
      </c>
      <c r="T106" s="31">
        <v>1</v>
      </c>
      <c r="U106" s="83"/>
      <c r="V106" s="78"/>
      <c r="W106" s="78"/>
      <c r="X106" s="78"/>
      <c r="Y106" s="78"/>
      <c r="Z106" s="78"/>
      <c r="AA106" s="78"/>
      <c r="AB106" s="79"/>
      <c r="AC106" s="79"/>
      <c r="AD106" s="79"/>
      <c r="AF106" s="35"/>
      <c r="AG106" s="35"/>
      <c r="AI106" s="35"/>
    </row>
    <row r="107" spans="1:35" s="60" customFormat="1" ht="13.5" customHeight="1" x14ac:dyDescent="0.35">
      <c r="A107" s="35"/>
      <c r="B107" s="35"/>
      <c r="C107" s="66" t="e">
        <f>VLOOKUP(B106,Уч!$A$2:$L$26,5,FALSE)</f>
        <v>#N/A</v>
      </c>
      <c r="D107" s="107" t="e">
        <f>VLOOKUP(B106,Уч!$A$2:$L$26,4,FALSE)</f>
        <v>#N/A</v>
      </c>
      <c r="E107" s="33" t="s">
        <v>97</v>
      </c>
      <c r="F107" s="68" t="e">
        <f>VLOOKUP($B106,'100 м 1'!$C$18:$I$86,6,FALSE)</f>
        <v>#N/A</v>
      </c>
      <c r="G107" s="69" t="e">
        <f>VLOOKUP($B106,'длина 2 '!$C$16:$O$54,12,FALSE)</f>
        <v>#N/A</v>
      </c>
      <c r="H107" s="70"/>
      <c r="I107" s="69"/>
      <c r="J107" s="69"/>
      <c r="K107" s="69">
        <f>VLOOKUP($B106,'1cб_р'!$C$17:$I$63,6,FALSE)</f>
        <v>0</v>
      </c>
      <c r="L107" s="69"/>
      <c r="M107" s="69"/>
      <c r="N107" s="70"/>
      <c r="O107" s="70"/>
      <c r="P107" s="97"/>
      <c r="Q107" s="34"/>
      <c r="R107" s="63"/>
      <c r="S107" s="31" t="e">
        <f>$A106</f>
        <v>#N/A</v>
      </c>
      <c r="T107" s="31">
        <v>2</v>
      </c>
      <c r="U107" s="83"/>
      <c r="V107" s="78"/>
      <c r="W107" s="78"/>
      <c r="X107" s="78"/>
      <c r="Y107" s="78"/>
      <c r="Z107" s="78"/>
      <c r="AA107" s="78"/>
      <c r="AB107" s="79"/>
      <c r="AC107" s="79"/>
      <c r="AD107" s="79"/>
      <c r="AF107" s="35"/>
      <c r="AG107" s="35"/>
      <c r="AI107" s="35"/>
    </row>
    <row r="108" spans="1:35" s="60" customFormat="1" ht="13.5" customHeight="1" x14ac:dyDescent="0.35">
      <c r="A108" s="35"/>
      <c r="B108" s="35"/>
      <c r="C108" s="67" t="e">
        <f>VLOOKUP(B106,Уч!$A$2:$L$26,7,FALSE)</f>
        <v>#N/A</v>
      </c>
      <c r="D108" s="107"/>
      <c r="E108" s="33" t="s">
        <v>77</v>
      </c>
      <c r="F108" s="72" t="e">
        <f>VLOOKUP($B106,'100 м 1'!$C$18:$I$86,7,FALSE)</f>
        <v>#N/A</v>
      </c>
      <c r="G108" s="70" t="e">
        <f>VLOOKUP($B106,'длина 2 '!$C$16:$O$54,13,FALSE)</f>
        <v>#N/A</v>
      </c>
      <c r="H108" s="70" t="e">
        <f>VLOOKUP($B106,'ядро 2'!$C$16:$K$60,9,FALSE)</f>
        <v>#N/A</v>
      </c>
      <c r="I108" s="70" t="e">
        <f>VLOOKUP($B106,'высота 2'!$C$16:$AF$57,24,)</f>
        <v>#N/A</v>
      </c>
      <c r="J108" s="70">
        <f>VLOOKUP($B106,'4_р'!$C$17:$H$73,6,FALSE)</f>
        <v>0</v>
      </c>
      <c r="K108" s="70">
        <f>VLOOKUP($B106,'1cб_р'!$C$17:$I$63,7,FALSE)</f>
        <v>0</v>
      </c>
      <c r="L108" s="70">
        <f>VLOOKUP($B106,Дс_р!$C$16:$K$70,9,FALSE)</f>
        <v>613</v>
      </c>
      <c r="M108" s="70">
        <f>VLOOKUP($B106,Ш_р!$C$15:$AF$69,18,FALSE)</f>
        <v>0</v>
      </c>
      <c r="N108" s="70">
        <f>VLOOKUP($B106,К_р!$C$15:$K$68,9,FALSE)</f>
        <v>540</v>
      </c>
      <c r="O108" s="70">
        <f>VLOOKUP($B106,'15_р'!$C$17:$H$86,6,FALSE)</f>
        <v>0</v>
      </c>
      <c r="P108" s="97"/>
      <c r="Q108" s="34"/>
      <c r="R108" s="63"/>
      <c r="S108" s="31" t="e">
        <f>$A106</f>
        <v>#N/A</v>
      </c>
      <c r="T108" s="31">
        <v>3</v>
      </c>
      <c r="U108" s="83"/>
      <c r="V108" s="78"/>
      <c r="W108" s="78"/>
      <c r="X108" s="78"/>
      <c r="Y108" s="78"/>
      <c r="Z108" s="78"/>
      <c r="AA108" s="78"/>
      <c r="AB108" s="79"/>
      <c r="AC108" s="79"/>
      <c r="AD108" s="79"/>
      <c r="AF108" s="35"/>
      <c r="AG108" s="35"/>
      <c r="AI108" s="35"/>
    </row>
    <row r="109" spans="1:35" s="60" customFormat="1" ht="13.5" customHeight="1" x14ac:dyDescent="0.35">
      <c r="A109" s="35"/>
      <c r="B109" s="35"/>
      <c r="C109" s="66" t="e">
        <f>VLOOKUP(B106,Уч!$A$2:$L$26,11,FALSE)</f>
        <v>#N/A</v>
      </c>
      <c r="D109" s="107"/>
      <c r="E109" s="33" t="s">
        <v>98</v>
      </c>
      <c r="F109" s="72" t="e">
        <f>F108</f>
        <v>#N/A</v>
      </c>
      <c r="G109" s="70" t="e">
        <f>F109+G108</f>
        <v>#N/A</v>
      </c>
      <c r="H109" s="70" t="e">
        <f>G109+H108</f>
        <v>#N/A</v>
      </c>
      <c r="I109" s="70" t="e">
        <f>H109+I108</f>
        <v>#N/A</v>
      </c>
      <c r="J109" s="70" t="e">
        <f>SUM($F108:J108)</f>
        <v>#N/A</v>
      </c>
      <c r="K109" s="70" t="e">
        <f>SUM($F108:$K108)</f>
        <v>#N/A</v>
      </c>
      <c r="L109" s="70" t="e">
        <f>K109+L108</f>
        <v>#N/A</v>
      </c>
      <c r="M109" s="70" t="e">
        <f>L109+M108</f>
        <v>#N/A</v>
      </c>
      <c r="N109" s="70" t="e">
        <f>SUM($F108:$N108)</f>
        <v>#N/A</v>
      </c>
      <c r="O109" s="70" t="e">
        <f>SUM($F108:$O108)</f>
        <v>#N/A</v>
      </c>
      <c r="P109" s="97"/>
      <c r="Q109" s="80"/>
      <c r="R109" s="63"/>
      <c r="S109" s="31" t="e">
        <f>$A106</f>
        <v>#N/A</v>
      </c>
      <c r="T109" s="31">
        <v>4</v>
      </c>
      <c r="U109" s="63" t="e">
        <f t="shared" ref="U109:AD109" si="18">F109</f>
        <v>#N/A</v>
      </c>
      <c r="V109" s="63" t="e">
        <f t="shared" si="18"/>
        <v>#N/A</v>
      </c>
      <c r="W109" s="63" t="e">
        <f t="shared" si="18"/>
        <v>#N/A</v>
      </c>
      <c r="X109" s="63" t="e">
        <f t="shared" si="18"/>
        <v>#N/A</v>
      </c>
      <c r="Y109" s="63" t="e">
        <f t="shared" si="18"/>
        <v>#N/A</v>
      </c>
      <c r="Z109" s="63" t="e">
        <f t="shared" si="18"/>
        <v>#N/A</v>
      </c>
      <c r="AA109" s="63" t="e">
        <f t="shared" si="18"/>
        <v>#N/A</v>
      </c>
      <c r="AB109" s="63" t="e">
        <f t="shared" si="18"/>
        <v>#N/A</v>
      </c>
      <c r="AC109" s="63" t="e">
        <f t="shared" si="18"/>
        <v>#N/A</v>
      </c>
      <c r="AD109" s="63" t="e">
        <f t="shared" si="18"/>
        <v>#N/A</v>
      </c>
      <c r="AF109" s="35"/>
      <c r="AG109" s="35"/>
      <c r="AI109" s="35"/>
    </row>
    <row r="110" spans="1:35" s="60" customFormat="1" ht="13.5" customHeight="1" thickBot="1" x14ac:dyDescent="0.4">
      <c r="A110" s="73"/>
      <c r="B110" s="73"/>
      <c r="C110" s="74" t="e">
        <f>VLOOKUP(B106,Уч!$A$2:$L$26,12,FALSE)</f>
        <v>#N/A</v>
      </c>
      <c r="D110" s="108"/>
      <c r="E110" s="43" t="s">
        <v>37</v>
      </c>
      <c r="F110" s="75" t="e">
        <f>RANK(F109,$U$19:$U$165,0)</f>
        <v>#N/A</v>
      </c>
      <c r="G110" s="76" t="e">
        <f>RANK(G109,$V$19:$V$165,0)</f>
        <v>#N/A</v>
      </c>
      <c r="H110" s="76" t="e">
        <f>RANK(H109,$W$19:$W$165,0)</f>
        <v>#N/A</v>
      </c>
      <c r="I110" s="76" t="e">
        <f>RANK(I109,$X$19:$X$165,0)</f>
        <v>#N/A</v>
      </c>
      <c r="J110" s="76" t="e">
        <f>RANK(J109,$Y$19:$Y$165,0)</f>
        <v>#N/A</v>
      </c>
      <c r="K110" s="76" t="e">
        <f>RANK(K109,$Z$19:$Z$165,0)</f>
        <v>#N/A</v>
      </c>
      <c r="L110" s="76" t="e">
        <f>RANK(L109,$AA$19:$AA$165,0)</f>
        <v>#N/A</v>
      </c>
      <c r="M110" s="76" t="e">
        <f>RANK(M109,$AB$19:$AB$155,0)</f>
        <v>#N/A</v>
      </c>
      <c r="N110" s="76" t="e">
        <f>RANK(N109,$AC$19:$AC$165,0)</f>
        <v>#N/A</v>
      </c>
      <c r="O110" s="76" t="e">
        <f>RANK(O109,$AD$19:$AD$165,0)</f>
        <v>#N/A</v>
      </c>
      <c r="P110" s="98"/>
      <c r="Q110" s="81"/>
      <c r="R110" s="77"/>
      <c r="S110" s="31" t="e">
        <f>$A106</f>
        <v>#N/A</v>
      </c>
      <c r="T110" s="31">
        <v>5</v>
      </c>
      <c r="U110" s="83"/>
      <c r="V110" s="78"/>
      <c r="W110" s="78"/>
      <c r="X110" s="78"/>
      <c r="Y110" s="78"/>
      <c r="Z110" s="78"/>
      <c r="AA110" s="78"/>
      <c r="AB110" s="79"/>
      <c r="AC110" s="79"/>
      <c r="AD110" s="79"/>
      <c r="AF110" s="35"/>
      <c r="AG110" s="35"/>
      <c r="AI110" s="35"/>
    </row>
    <row r="111" spans="1:35" s="60" customFormat="1" ht="13.5" customHeight="1" thickTop="1" x14ac:dyDescent="0.35">
      <c r="A111" s="35" t="e">
        <f>RANK(P111,$P$16:$P$165,0)</f>
        <v>#N/A</v>
      </c>
      <c r="B111" s="35">
        <v>55</v>
      </c>
      <c r="C111" s="60" t="e">
        <f>VLOOKUP(B111,Уч!$A$2:$L$26,2,FALSE)</f>
        <v>#N/A</v>
      </c>
      <c r="D111" s="107" t="e">
        <f>VLOOKUP(B111,Уч!$A$2:$L$26,3,FALSE)</f>
        <v>#N/A</v>
      </c>
      <c r="E111" s="33" t="s">
        <v>28</v>
      </c>
      <c r="F111" s="61" t="e">
        <f>VLOOKUP($B111,'100 м 1'!$C$18:$I$86,5,FALSE)</f>
        <v>#N/A</v>
      </c>
      <c r="G111" s="62" t="e">
        <f>VLOOKUP($B111,'длина 2 '!$C$16:$O$54,11,FALSE)</f>
        <v>#N/A</v>
      </c>
      <c r="H111" s="62" t="e">
        <f>VLOOKUP($B111,'ядро 2'!$C$16:$K$60,8,FALSE)</f>
        <v>#N/A</v>
      </c>
      <c r="I111" s="62" t="e">
        <f>VLOOKUP($B111,'высота 2'!$C$16:$AF$57,23,FALSE)</f>
        <v>#N/A</v>
      </c>
      <c r="J111" s="62" t="e">
        <f>VLOOKUP($B111,'4_р'!$C$17:$H$73,5,FALSE)</f>
        <v>#N/A</v>
      </c>
      <c r="K111" s="62" t="e">
        <f>VLOOKUP($B111,'1cб_р'!$C$17:$I$63,5,FALSE)</f>
        <v>#N/A</v>
      </c>
      <c r="L111" s="62" t="e">
        <f>VLOOKUP($B111,Дс_р!$C$16:$K$70,8,FALSE)</f>
        <v>#N/A</v>
      </c>
      <c r="M111" s="62" t="e">
        <f>VLOOKUP($B111,Ш_р!$C$15:$AF$69,17,FALSE)</f>
        <v>#N/A</v>
      </c>
      <c r="N111" s="62" t="e">
        <f>VLOOKUP($B111,К_р!$C$15:$K$68,8,FALSE)</f>
        <v>#N/A</v>
      </c>
      <c r="O111" s="70" t="e">
        <f>VLOOKUP($B111,'15_р'!$C$17:$H$86,5,FALSE)</f>
        <v>#N/A</v>
      </c>
      <c r="P111" s="97" t="e">
        <f>SUM(F113:O113)</f>
        <v>#N/A</v>
      </c>
      <c r="Q111" s="35" t="e">
        <f>LOOKUP(P111,$V$1:$V$7,$W$1:$W$7)</f>
        <v>#N/A</v>
      </c>
      <c r="R111" s="35"/>
      <c r="S111" s="31" t="e">
        <f>$A111</f>
        <v>#N/A</v>
      </c>
      <c r="T111" s="31">
        <v>1</v>
      </c>
      <c r="U111" s="83"/>
      <c r="V111" s="78"/>
      <c r="W111" s="78"/>
      <c r="X111" s="78"/>
      <c r="Y111" s="78"/>
      <c r="Z111" s="78"/>
      <c r="AA111" s="78"/>
      <c r="AB111" s="79"/>
      <c r="AC111" s="79"/>
      <c r="AD111" s="79"/>
      <c r="AF111" s="35"/>
      <c r="AG111" s="35"/>
      <c r="AI111" s="35"/>
    </row>
    <row r="112" spans="1:35" s="60" customFormat="1" ht="13.5" customHeight="1" x14ac:dyDescent="0.35">
      <c r="A112" s="35"/>
      <c r="B112" s="35"/>
      <c r="C112" s="66" t="e">
        <f>VLOOKUP(B111,Уч!$A$2:$L$26,5,FALSE)</f>
        <v>#N/A</v>
      </c>
      <c r="D112" s="107" t="e">
        <f>VLOOKUP(B111,Уч!$A$2:$L$26,4,FALSE)</f>
        <v>#N/A</v>
      </c>
      <c r="E112" s="33" t="s">
        <v>97</v>
      </c>
      <c r="F112" s="68" t="e">
        <f>VLOOKUP($B111,'100 м 1'!$C$18:$I$86,6,FALSE)</f>
        <v>#N/A</v>
      </c>
      <c r="G112" s="69" t="e">
        <f>VLOOKUP($B111,'длина 2 '!$C$16:$O$54,12,FALSE)</f>
        <v>#N/A</v>
      </c>
      <c r="H112" s="70"/>
      <c r="I112" s="69"/>
      <c r="J112" s="69"/>
      <c r="K112" s="69" t="e">
        <f>VLOOKUP($B111,'1cб_р'!$C$17:$I$63,6,FALSE)</f>
        <v>#N/A</v>
      </c>
      <c r="L112" s="69"/>
      <c r="M112" s="69"/>
      <c r="N112" s="70"/>
      <c r="O112" s="70"/>
      <c r="P112" s="97"/>
      <c r="Q112" s="34"/>
      <c r="R112" s="63"/>
      <c r="S112" s="31" t="e">
        <f>$A111</f>
        <v>#N/A</v>
      </c>
      <c r="T112" s="31">
        <v>2</v>
      </c>
      <c r="U112" s="83"/>
      <c r="V112" s="78"/>
      <c r="W112" s="78"/>
      <c r="X112" s="78"/>
      <c r="Y112" s="78"/>
      <c r="Z112" s="78"/>
      <c r="AA112" s="78"/>
      <c r="AB112" s="79"/>
      <c r="AC112" s="79"/>
      <c r="AD112" s="79"/>
      <c r="AF112" s="35"/>
      <c r="AG112" s="35"/>
      <c r="AI112" s="35"/>
    </row>
    <row r="113" spans="1:39" s="60" customFormat="1" ht="13.5" customHeight="1" x14ac:dyDescent="0.35">
      <c r="A113" s="35"/>
      <c r="B113" s="35"/>
      <c r="C113" s="67" t="e">
        <f>VLOOKUP(B111,Уч!$A$2:$L$26,7,FALSE)</f>
        <v>#N/A</v>
      </c>
      <c r="D113" s="107"/>
      <c r="E113" s="33" t="s">
        <v>77</v>
      </c>
      <c r="F113" s="72" t="e">
        <f>VLOOKUP($B111,'100 м 1'!$C$18:$I$86,7,FALSE)</f>
        <v>#N/A</v>
      </c>
      <c r="G113" s="70" t="e">
        <f>VLOOKUP($B111,'длина 2 '!$C$16:$O$54,13,FALSE)</f>
        <v>#N/A</v>
      </c>
      <c r="H113" s="70" t="e">
        <f>VLOOKUP($B111,'ядро 2'!$C$16:$K$60,9,FALSE)</f>
        <v>#N/A</v>
      </c>
      <c r="I113" s="70" t="e">
        <f>VLOOKUP($B111,'высота 2'!$C$16:$AF$57,24,)</f>
        <v>#N/A</v>
      </c>
      <c r="J113" s="70" t="e">
        <f>VLOOKUP($B111,'4_р'!$C$17:$H$73,6,FALSE)</f>
        <v>#N/A</v>
      </c>
      <c r="K113" s="70" t="e">
        <f>VLOOKUP($B111,'1cб_р'!$C$17:$I$63,7,FALSE)</f>
        <v>#N/A</v>
      </c>
      <c r="L113" s="70" t="e">
        <f>VLOOKUP($B111,Дс_р!$C$16:$K$70,9,FALSE)</f>
        <v>#N/A</v>
      </c>
      <c r="M113" s="70" t="e">
        <f>VLOOKUP($B111,Ш_р!$C$15:$AF$69,18,FALSE)</f>
        <v>#N/A</v>
      </c>
      <c r="N113" s="70" t="e">
        <f>VLOOKUP($B111,К_р!$C$15:$K$68,9,FALSE)</f>
        <v>#N/A</v>
      </c>
      <c r="O113" s="70" t="e">
        <f>VLOOKUP($B111,'15_р'!$C$17:$H$86,6,FALSE)</f>
        <v>#N/A</v>
      </c>
      <c r="P113" s="97"/>
      <c r="Q113" s="34"/>
      <c r="R113" s="63"/>
      <c r="S113" s="31" t="e">
        <f>$A111</f>
        <v>#N/A</v>
      </c>
      <c r="T113" s="31">
        <v>3</v>
      </c>
      <c r="U113" s="83"/>
      <c r="V113" s="78"/>
      <c r="W113" s="78"/>
      <c r="X113" s="78"/>
      <c r="Y113" s="78"/>
      <c r="Z113" s="78"/>
      <c r="AA113" s="78"/>
      <c r="AB113" s="79"/>
      <c r="AC113" s="79"/>
      <c r="AD113" s="79"/>
      <c r="AF113" s="35"/>
      <c r="AG113" s="35"/>
      <c r="AI113" s="35"/>
    </row>
    <row r="114" spans="1:39" s="60" customFormat="1" ht="13.5" customHeight="1" x14ac:dyDescent="0.35">
      <c r="A114" s="35"/>
      <c r="B114" s="35"/>
      <c r="C114" s="66" t="e">
        <f>VLOOKUP(B111,Уч!$A$2:$L$26,11,FALSE)</f>
        <v>#N/A</v>
      </c>
      <c r="D114" s="107"/>
      <c r="E114" s="33" t="s">
        <v>98</v>
      </c>
      <c r="F114" s="72" t="e">
        <f>F113</f>
        <v>#N/A</v>
      </c>
      <c r="G114" s="70" t="e">
        <f>F114+G113</f>
        <v>#N/A</v>
      </c>
      <c r="H114" s="70" t="e">
        <f>G114+H113</f>
        <v>#N/A</v>
      </c>
      <c r="I114" s="70" t="e">
        <f>H114+I113</f>
        <v>#N/A</v>
      </c>
      <c r="J114" s="70" t="e">
        <f>SUM($F113:J113)</f>
        <v>#N/A</v>
      </c>
      <c r="K114" s="70" t="e">
        <f>SUM($F113:$K113)</f>
        <v>#N/A</v>
      </c>
      <c r="L114" s="70" t="e">
        <f>K114+L113</f>
        <v>#N/A</v>
      </c>
      <c r="M114" s="70" t="e">
        <f>L114+M113</f>
        <v>#N/A</v>
      </c>
      <c r="N114" s="70" t="e">
        <f>SUM($F113:$N113)</f>
        <v>#N/A</v>
      </c>
      <c r="O114" s="70" t="e">
        <f>SUM($F113:$O113)</f>
        <v>#N/A</v>
      </c>
      <c r="P114" s="97"/>
      <c r="Q114" s="80"/>
      <c r="R114" s="63"/>
      <c r="S114" s="31" t="e">
        <f>$A111</f>
        <v>#N/A</v>
      </c>
      <c r="T114" s="31">
        <v>4</v>
      </c>
      <c r="U114" s="63" t="e">
        <f t="shared" ref="U114:AD114" si="19">F114</f>
        <v>#N/A</v>
      </c>
      <c r="V114" s="63" t="e">
        <f t="shared" si="19"/>
        <v>#N/A</v>
      </c>
      <c r="W114" s="63" t="e">
        <f t="shared" si="19"/>
        <v>#N/A</v>
      </c>
      <c r="X114" s="63" t="e">
        <f t="shared" si="19"/>
        <v>#N/A</v>
      </c>
      <c r="Y114" s="63" t="e">
        <f t="shared" si="19"/>
        <v>#N/A</v>
      </c>
      <c r="Z114" s="63" t="e">
        <f t="shared" si="19"/>
        <v>#N/A</v>
      </c>
      <c r="AA114" s="63" t="e">
        <f t="shared" si="19"/>
        <v>#N/A</v>
      </c>
      <c r="AB114" s="63" t="e">
        <f t="shared" si="19"/>
        <v>#N/A</v>
      </c>
      <c r="AC114" s="63" t="e">
        <f t="shared" si="19"/>
        <v>#N/A</v>
      </c>
      <c r="AD114" s="63" t="e">
        <f t="shared" si="19"/>
        <v>#N/A</v>
      </c>
      <c r="AF114" s="35"/>
      <c r="AG114" s="35"/>
      <c r="AI114" s="35"/>
    </row>
    <row r="115" spans="1:39" s="60" customFormat="1" ht="13.5" customHeight="1" thickBot="1" x14ac:dyDescent="0.4">
      <c r="A115" s="73"/>
      <c r="B115" s="73"/>
      <c r="C115" s="74" t="e">
        <f>VLOOKUP(B111,Уч!$A$2:$L$26,12,FALSE)</f>
        <v>#N/A</v>
      </c>
      <c r="D115" s="108"/>
      <c r="E115" s="43" t="s">
        <v>37</v>
      </c>
      <c r="F115" s="75" t="e">
        <f>RANK(F114,$U$19:$U$165,0)</f>
        <v>#N/A</v>
      </c>
      <c r="G115" s="76" t="e">
        <f>RANK(G114,$V$19:$V$165,0)</f>
        <v>#N/A</v>
      </c>
      <c r="H115" s="76" t="e">
        <f>RANK(H114,$W$19:$W$165,0)</f>
        <v>#N/A</v>
      </c>
      <c r="I115" s="76" t="e">
        <f>RANK(I114,$X$19:$X$165,0)</f>
        <v>#N/A</v>
      </c>
      <c r="J115" s="76" t="e">
        <f>RANK(J114,$Y$19:$Y$165,0)</f>
        <v>#N/A</v>
      </c>
      <c r="K115" s="76" t="e">
        <f>RANK(K114,$Z$19:$Z$165,0)</f>
        <v>#N/A</v>
      </c>
      <c r="L115" s="76" t="e">
        <f>RANK(L114,$AA$19:$AA$165,0)</f>
        <v>#N/A</v>
      </c>
      <c r="M115" s="76" t="e">
        <f>RANK(M114,$AB$19:$AB$155,0)</f>
        <v>#N/A</v>
      </c>
      <c r="N115" s="76" t="e">
        <f>RANK(N114,$AC$19:$AC$165,0)</f>
        <v>#N/A</v>
      </c>
      <c r="O115" s="76" t="e">
        <f>RANK(O114,$AD$19:$AD$165,0)</f>
        <v>#N/A</v>
      </c>
      <c r="P115" s="98"/>
      <c r="Q115" s="81"/>
      <c r="R115" s="77"/>
      <c r="S115" s="31" t="e">
        <f>$A111</f>
        <v>#N/A</v>
      </c>
      <c r="T115" s="31">
        <v>5</v>
      </c>
      <c r="U115" s="83"/>
      <c r="V115" s="78"/>
      <c r="W115" s="78"/>
      <c r="X115" s="78"/>
      <c r="Y115" s="78"/>
      <c r="Z115" s="78"/>
      <c r="AA115" s="78"/>
      <c r="AB115" s="79"/>
      <c r="AC115" s="79"/>
      <c r="AD115" s="79"/>
      <c r="AF115" s="35"/>
      <c r="AG115" s="35"/>
      <c r="AI115" s="35"/>
    </row>
    <row r="116" spans="1:39" s="60" customFormat="1" ht="13.5" customHeight="1" thickTop="1" x14ac:dyDescent="0.35">
      <c r="A116" s="35" t="e">
        <f>RANK(P116,$P$16:$P$165,0)</f>
        <v>#N/A</v>
      </c>
      <c r="B116" s="35">
        <v>35</v>
      </c>
      <c r="C116" s="60" t="e">
        <f>VLOOKUP(B116,Уч!$A$2:$L$26,2,FALSE)</f>
        <v>#N/A</v>
      </c>
      <c r="D116" s="107" t="e">
        <f>VLOOKUP(B116,Уч!$A$2:$L$26,3,FALSE)</f>
        <v>#N/A</v>
      </c>
      <c r="E116" s="33" t="s">
        <v>28</v>
      </c>
      <c r="F116" s="61" t="e">
        <f>VLOOKUP($B116,'100 м 1'!$C$18:$I$86,5,FALSE)</f>
        <v>#N/A</v>
      </c>
      <c r="G116" s="62" t="e">
        <f>VLOOKUP($B116,'длина 2 '!$C$16:$O$54,11,FALSE)</f>
        <v>#N/A</v>
      </c>
      <c r="H116" s="62" t="e">
        <f>VLOOKUP($B116,'ядро 2'!$C$16:$K$60,8,FALSE)</f>
        <v>#N/A</v>
      </c>
      <c r="I116" s="62" t="e">
        <f>VLOOKUP($B116,'высота 2'!$C$16:$AF$57,23,FALSE)</f>
        <v>#N/A</v>
      </c>
      <c r="J116" s="62">
        <f>VLOOKUP($B116,'4_р'!$C$17:$H$73,5,FALSE)</f>
        <v>51.77</v>
      </c>
      <c r="K116" s="62">
        <f>VLOOKUP($B116,'1cб_р'!$C$17:$I$63,5,FALSE)</f>
        <v>16.32</v>
      </c>
      <c r="L116" s="62">
        <f>VLOOKUP($B116,Дс_р!$C$16:$K$70,8,FALSE)</f>
        <v>36</v>
      </c>
      <c r="M116" s="62">
        <f>VLOOKUP($B116,Ш_р!$C$15:$AF$69,17,FALSE)</f>
        <v>0</v>
      </c>
      <c r="N116" s="62">
        <f>VLOOKUP($B116,К_р!$C$15:$K$68,8,FALSE)</f>
        <v>49</v>
      </c>
      <c r="O116" s="70" t="str">
        <f>VLOOKUP($B116,'15_р'!$C$17:$H$86,5,FALSE)</f>
        <v>4:36.19</v>
      </c>
      <c r="P116" s="97" t="e">
        <f>SUM(F118:O118)</f>
        <v>#N/A</v>
      </c>
      <c r="Q116" s="35" t="e">
        <f>LOOKUP(P116,$V$1:$V$7,$W$1:$W$7)</f>
        <v>#N/A</v>
      </c>
      <c r="R116" s="35"/>
      <c r="S116" s="31">
        <v>21</v>
      </c>
      <c r="T116" s="31">
        <v>1</v>
      </c>
      <c r="U116" s="64"/>
      <c r="V116" s="64"/>
      <c r="W116" s="64"/>
      <c r="X116" s="64"/>
      <c r="Y116" s="64"/>
      <c r="Z116" s="64"/>
      <c r="AA116" s="64"/>
      <c r="AB116" s="64"/>
      <c r="AC116" s="64"/>
      <c r="AD116" s="64"/>
      <c r="AE116" s="31"/>
      <c r="AF116" s="65" t="s">
        <v>37</v>
      </c>
      <c r="AG116" s="36" t="s">
        <v>77</v>
      </c>
      <c r="AH116" s="65" t="s">
        <v>76</v>
      </c>
      <c r="AI116" s="35" t="s">
        <v>77</v>
      </c>
      <c r="AJ116" s="31"/>
      <c r="AK116" s="31"/>
      <c r="AL116" s="31"/>
      <c r="AM116" s="31"/>
    </row>
    <row r="117" spans="1:39" s="60" customFormat="1" ht="13.5" customHeight="1" x14ac:dyDescent="0.35">
      <c r="A117" s="35"/>
      <c r="B117" s="35"/>
      <c r="C117" s="66" t="e">
        <f>VLOOKUP(B116,Уч!$A$2:$L$26,5,FALSE)</f>
        <v>#N/A</v>
      </c>
      <c r="D117" s="109" t="e">
        <f>VLOOKUP(B116,Уч!$A$2:$L$26,4,FALSE)</f>
        <v>#N/A</v>
      </c>
      <c r="E117" s="33" t="s">
        <v>97</v>
      </c>
      <c r="F117" s="68" t="e">
        <f>VLOOKUP($B116,'100 м 1'!$C$18:$I$86,6,FALSE)</f>
        <v>#N/A</v>
      </c>
      <c r="G117" s="69" t="e">
        <f>VLOOKUP($B116,'длина 2 '!$C$16:$O$54,12,FALSE)</f>
        <v>#N/A</v>
      </c>
      <c r="H117" s="70"/>
      <c r="I117" s="69"/>
      <c r="J117" s="69"/>
      <c r="K117" s="69">
        <f>VLOOKUP($B116,'1cб_р'!$C$17:$I$63,6,FALSE)</f>
        <v>-1.5</v>
      </c>
      <c r="L117" s="69"/>
      <c r="M117" s="69"/>
      <c r="N117" s="70"/>
      <c r="O117" s="70"/>
      <c r="P117" s="97"/>
      <c r="Q117" s="36"/>
      <c r="R117" s="63"/>
      <c r="S117" s="31">
        <v>21</v>
      </c>
      <c r="T117" s="31">
        <v>2</v>
      </c>
      <c r="U117" s="64"/>
      <c r="V117" s="64"/>
      <c r="W117" s="64"/>
      <c r="X117" s="64"/>
      <c r="Y117" s="64"/>
      <c r="Z117" s="64"/>
      <c r="AA117" s="64"/>
      <c r="AB117" s="64"/>
      <c r="AC117" s="64"/>
      <c r="AD117" s="64"/>
      <c r="AE117" s="31"/>
      <c r="AF117" s="65">
        <v>1</v>
      </c>
      <c r="AG117" s="36">
        <v>20</v>
      </c>
      <c r="AH117" s="36" t="s">
        <v>78</v>
      </c>
      <c r="AI117" s="35"/>
      <c r="AJ117" s="31"/>
      <c r="AK117" s="31"/>
      <c r="AL117" s="31"/>
      <c r="AM117" s="31"/>
    </row>
    <row r="118" spans="1:39" s="60" customFormat="1" ht="13.5" customHeight="1" x14ac:dyDescent="0.35">
      <c r="A118" s="35"/>
      <c r="B118" s="35"/>
      <c r="C118" s="67" t="e">
        <f>VLOOKUP(B116,Уч!$A$2:$L$26,7,FALSE)</f>
        <v>#N/A</v>
      </c>
      <c r="D118" s="109"/>
      <c r="E118" s="33" t="s">
        <v>77</v>
      </c>
      <c r="F118" s="72" t="e">
        <f>VLOOKUP($B116,'100 м 1'!$C$18:$I$86,7,FALSE)</f>
        <v>#N/A</v>
      </c>
      <c r="G118" s="70" t="e">
        <f>VLOOKUP($B116,'длина 2 '!$C$16:$O$54,13,FALSE)</f>
        <v>#N/A</v>
      </c>
      <c r="H118" s="70" t="e">
        <f>VLOOKUP($B116,'ядро 2'!$C$16:$K$60,9,FALSE)</f>
        <v>#N/A</v>
      </c>
      <c r="I118" s="70" t="e">
        <f>VLOOKUP($B116,'высота 2'!$C$16:$AF$57,24,)</f>
        <v>#N/A</v>
      </c>
      <c r="J118" s="70">
        <f>VLOOKUP($B116,'4_р'!$C$17:$H$73,6,FALSE)</f>
        <v>735</v>
      </c>
      <c r="K118" s="70">
        <f>VLOOKUP($B116,'1cб_р'!$C$17:$I$63,7,FALSE)</f>
        <v>697</v>
      </c>
      <c r="L118" s="70">
        <f>VLOOKUP($B116,Дс_р!$C$16:$K$70,9,FALSE)</f>
        <v>584</v>
      </c>
      <c r="M118" s="70">
        <f>VLOOKUP($B116,Ш_р!$C$15:$AF$69,18,FALSE)</f>
        <v>0</v>
      </c>
      <c r="N118" s="70">
        <f>VLOOKUP($B116,К_р!$C$15:$K$68,9,FALSE)</f>
        <v>574</v>
      </c>
      <c r="O118" s="70">
        <f>VLOOKUP($B116,'15_р'!$C$17:$H$86,6,FALSE)</f>
        <v>704</v>
      </c>
      <c r="P118" s="97"/>
      <c r="Q118" s="36"/>
      <c r="R118" s="63"/>
      <c r="S118" s="31">
        <v>21</v>
      </c>
      <c r="T118" s="31">
        <v>3</v>
      </c>
      <c r="U118" s="64"/>
      <c r="V118" s="64"/>
      <c r="W118" s="64"/>
      <c r="X118" s="64"/>
      <c r="Y118" s="64"/>
      <c r="Z118" s="64"/>
      <c r="AA118" s="64"/>
      <c r="AB118" s="64"/>
      <c r="AC118" s="64"/>
      <c r="AD118" s="64"/>
      <c r="AE118" s="31"/>
      <c r="AF118" s="65">
        <v>2</v>
      </c>
      <c r="AG118" s="36">
        <v>17</v>
      </c>
      <c r="AH118" s="65" t="s">
        <v>62</v>
      </c>
      <c r="AI118" s="35">
        <v>15</v>
      </c>
      <c r="AJ118" s="31"/>
      <c r="AK118" s="31"/>
      <c r="AL118" s="31"/>
      <c r="AM118" s="31"/>
    </row>
    <row r="119" spans="1:39" s="60" customFormat="1" ht="13.5" customHeight="1" x14ac:dyDescent="0.35">
      <c r="A119" s="35"/>
      <c r="B119" s="35"/>
      <c r="C119" s="66" t="e">
        <f>VLOOKUP(B116,Уч!$A$2:$L$26,11,FALSE)</f>
        <v>#N/A</v>
      </c>
      <c r="D119" s="109"/>
      <c r="E119" s="33" t="s">
        <v>98</v>
      </c>
      <c r="F119" s="72" t="e">
        <f>F118</f>
        <v>#N/A</v>
      </c>
      <c r="G119" s="70" t="e">
        <f t="shared" ref="G119:N119" si="20">F119+G118</f>
        <v>#N/A</v>
      </c>
      <c r="H119" s="70" t="e">
        <f t="shared" si="20"/>
        <v>#N/A</v>
      </c>
      <c r="I119" s="70" t="e">
        <f t="shared" si="20"/>
        <v>#N/A</v>
      </c>
      <c r="J119" s="70" t="e">
        <f t="shared" si="20"/>
        <v>#N/A</v>
      </c>
      <c r="K119" s="70" t="e">
        <f t="shared" si="20"/>
        <v>#N/A</v>
      </c>
      <c r="L119" s="70" t="e">
        <f t="shared" si="20"/>
        <v>#N/A</v>
      </c>
      <c r="M119" s="70" t="e">
        <f t="shared" si="20"/>
        <v>#N/A</v>
      </c>
      <c r="N119" s="70" t="e">
        <f t="shared" si="20"/>
        <v>#N/A</v>
      </c>
      <c r="O119" s="70" t="e">
        <f>SUM($F118:$O118)</f>
        <v>#N/A</v>
      </c>
      <c r="P119" s="97"/>
      <c r="Q119" s="36"/>
      <c r="R119" s="63"/>
      <c r="S119" s="31">
        <v>21</v>
      </c>
      <c r="T119" s="31">
        <v>4</v>
      </c>
      <c r="U119" s="63" t="e">
        <f t="shared" ref="U119:AD119" si="21">F119</f>
        <v>#N/A</v>
      </c>
      <c r="V119" s="63" t="e">
        <f t="shared" si="21"/>
        <v>#N/A</v>
      </c>
      <c r="W119" s="63" t="e">
        <f t="shared" si="21"/>
        <v>#N/A</v>
      </c>
      <c r="X119" s="63" t="e">
        <f t="shared" si="21"/>
        <v>#N/A</v>
      </c>
      <c r="Y119" s="63" t="e">
        <f t="shared" si="21"/>
        <v>#N/A</v>
      </c>
      <c r="Z119" s="63" t="e">
        <f t="shared" si="21"/>
        <v>#N/A</v>
      </c>
      <c r="AA119" s="63" t="e">
        <f t="shared" si="21"/>
        <v>#N/A</v>
      </c>
      <c r="AB119" s="63" t="e">
        <f t="shared" si="21"/>
        <v>#N/A</v>
      </c>
      <c r="AC119" s="63" t="e">
        <f t="shared" si="21"/>
        <v>#N/A</v>
      </c>
      <c r="AD119" s="63" t="e">
        <f t="shared" si="21"/>
        <v>#N/A</v>
      </c>
      <c r="AE119" s="31"/>
      <c r="AF119" s="65">
        <v>3</v>
      </c>
      <c r="AG119" s="36">
        <v>15</v>
      </c>
      <c r="AH119" s="65" t="s">
        <v>60</v>
      </c>
      <c r="AI119" s="35">
        <v>5</v>
      </c>
      <c r="AJ119" s="31"/>
      <c r="AK119" s="31"/>
      <c r="AL119" s="31"/>
      <c r="AM119" s="31"/>
    </row>
    <row r="120" spans="1:39" s="60" customFormat="1" ht="13.5" customHeight="1" thickBot="1" x14ac:dyDescent="0.4">
      <c r="A120" s="73"/>
      <c r="B120" s="73"/>
      <c r="C120" s="74" t="e">
        <f>VLOOKUP(B116,Уч!$A$2:$L$26,12,FALSE)</f>
        <v>#N/A</v>
      </c>
      <c r="D120" s="110"/>
      <c r="E120" s="43" t="s">
        <v>37</v>
      </c>
      <c r="F120" s="75" t="e">
        <f>RANK(F119,$U$19:$U$165,0)</f>
        <v>#N/A</v>
      </c>
      <c r="G120" s="76" t="e">
        <f>RANK(G119,$V$19:$V$165,0)</f>
        <v>#N/A</v>
      </c>
      <c r="H120" s="76" t="e">
        <f>RANK(H119,$W$19:$W$165,0)</f>
        <v>#N/A</v>
      </c>
      <c r="I120" s="76" t="e">
        <f>RANK(I119,$X$19:$X$165,0)</f>
        <v>#N/A</v>
      </c>
      <c r="J120" s="76" t="e">
        <f>RANK(J119,$Y$19:$Y$165,0)</f>
        <v>#N/A</v>
      </c>
      <c r="K120" s="76" t="e">
        <f>RANK(K119,$Z$19:$Z$165,0)</f>
        <v>#N/A</v>
      </c>
      <c r="L120" s="76" t="e">
        <f>RANK(L119,$AA$19:$AA$165,0)</f>
        <v>#N/A</v>
      </c>
      <c r="M120" s="76" t="e">
        <f>RANK(M119,$AB$19:$AB$155,0)</f>
        <v>#N/A</v>
      </c>
      <c r="N120" s="76" t="e">
        <f>RANK(N119,$AC$19:$AC$165,0)</f>
        <v>#N/A</v>
      </c>
      <c r="O120" s="76" t="e">
        <f>RANK(O119,$AD$19:$AD$165,0)</f>
        <v>#N/A</v>
      </c>
      <c r="P120" s="98"/>
      <c r="Q120" s="50"/>
      <c r="R120" s="77"/>
      <c r="S120" s="31">
        <v>21</v>
      </c>
      <c r="T120" s="31">
        <v>5</v>
      </c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31"/>
      <c r="AF120" s="65">
        <v>4</v>
      </c>
      <c r="AG120" s="36">
        <v>14</v>
      </c>
      <c r="AI120" s="35"/>
      <c r="AJ120" s="31"/>
      <c r="AK120" s="31"/>
      <c r="AL120" s="31"/>
      <c r="AM120" s="31"/>
    </row>
    <row r="121" spans="1:39" s="60" customFormat="1" ht="13.5" customHeight="1" thickTop="1" x14ac:dyDescent="0.35">
      <c r="A121" s="35" t="e">
        <f>RANK(P121,$P$16:$P$165,0)</f>
        <v>#N/A</v>
      </c>
      <c r="B121" s="35">
        <v>69</v>
      </c>
      <c r="C121" s="60" t="e">
        <f>VLOOKUP(B121,Уч!$A$2:$L$26,2,FALSE)</f>
        <v>#N/A</v>
      </c>
      <c r="D121" s="107" t="e">
        <f>VLOOKUP(B121,Уч!$A$2:$L$26,3,FALSE)</f>
        <v>#N/A</v>
      </c>
      <c r="E121" s="33" t="s">
        <v>28</v>
      </c>
      <c r="F121" s="61" t="e">
        <f>VLOOKUP($B121,'100 м 1'!$C$18:$I$86,5,FALSE)</f>
        <v>#N/A</v>
      </c>
      <c r="G121" s="62" t="e">
        <f>VLOOKUP($B121,'длина 2 '!$C$16:$O$54,11,FALSE)</f>
        <v>#N/A</v>
      </c>
      <c r="H121" s="62" t="e">
        <f>VLOOKUP($B121,'ядро 2'!$C$16:$K$60,8,FALSE)</f>
        <v>#N/A</v>
      </c>
      <c r="I121" s="62">
        <f>VLOOKUP($B121,'высота 2'!$C$16:$AF$57,23,FALSE)</f>
        <v>0</v>
      </c>
      <c r="J121" s="62">
        <f>VLOOKUP($B121,'4_р'!$C$17:$H$73,5,FALSE)</f>
        <v>52.67</v>
      </c>
      <c r="K121" s="62">
        <f>VLOOKUP($B121,'1cб_р'!$C$17:$I$63,5,FALSE)</f>
        <v>17.38</v>
      </c>
      <c r="L121" s="62">
        <f>VLOOKUP($B121,Дс_р!$C$16:$K$70,8,FALSE)</f>
        <v>30.38</v>
      </c>
      <c r="M121" s="62">
        <f>VLOOKUP($B121,Ш_р!$C$15:$AF$69,17,FALSE)</f>
        <v>0</v>
      </c>
      <c r="N121" s="62">
        <f>VLOOKUP($B121,К_р!$C$15:$K$68,8,FALSE)</f>
        <v>42.56</v>
      </c>
      <c r="O121" s="70" t="str">
        <f>VLOOKUP($B121,'15_р'!$C$17:$H$86,5,FALSE)</f>
        <v>4:13.03</v>
      </c>
      <c r="P121" s="97" t="e">
        <f>SUM(F123:O123)</f>
        <v>#N/A</v>
      </c>
      <c r="Q121" s="35" t="e">
        <f>LOOKUP(P121,$V$1:$V$7,$W$1:$W$7)</f>
        <v>#N/A</v>
      </c>
      <c r="R121" s="35"/>
      <c r="S121" s="31" t="e">
        <f>$A121</f>
        <v>#N/A</v>
      </c>
      <c r="T121" s="31">
        <v>1</v>
      </c>
      <c r="U121" s="83"/>
      <c r="V121" s="78"/>
      <c r="W121" s="78"/>
      <c r="X121" s="78"/>
      <c r="Y121" s="78"/>
      <c r="Z121" s="78"/>
      <c r="AA121" s="78"/>
      <c r="AB121" s="79"/>
      <c r="AC121" s="79"/>
      <c r="AD121" s="79"/>
      <c r="AF121" s="35"/>
      <c r="AG121" s="35"/>
      <c r="AI121" s="35"/>
    </row>
    <row r="122" spans="1:39" s="60" customFormat="1" ht="13.5" customHeight="1" x14ac:dyDescent="0.35">
      <c r="A122" s="35"/>
      <c r="B122" s="35"/>
      <c r="C122" s="66" t="e">
        <f>VLOOKUP(B121,Уч!$A$2:$L$26,5,FALSE)</f>
        <v>#N/A</v>
      </c>
      <c r="D122" s="107" t="e">
        <f>VLOOKUP(B121,Уч!$A$2:$L$26,4,FALSE)</f>
        <v>#N/A</v>
      </c>
      <c r="E122" s="33" t="s">
        <v>97</v>
      </c>
      <c r="F122" s="68" t="e">
        <f>VLOOKUP($B121,'100 м 1'!$C$18:$I$86,6,FALSE)</f>
        <v>#N/A</v>
      </c>
      <c r="G122" s="69" t="e">
        <f>VLOOKUP($B121,'длина 2 '!$C$16:$O$54,12,FALSE)</f>
        <v>#N/A</v>
      </c>
      <c r="H122" s="70"/>
      <c r="I122" s="69"/>
      <c r="J122" s="69"/>
      <c r="K122" s="69">
        <f>VLOOKUP($B121,'1cб_р'!$C$17:$I$63,6,FALSE)</f>
        <v>0</v>
      </c>
      <c r="L122" s="69"/>
      <c r="M122" s="69"/>
      <c r="N122" s="70"/>
      <c r="O122" s="70"/>
      <c r="P122" s="97"/>
      <c r="Q122" s="34"/>
      <c r="R122" s="63"/>
      <c r="S122" s="31" t="e">
        <f>$A121</f>
        <v>#N/A</v>
      </c>
      <c r="T122" s="31">
        <v>2</v>
      </c>
      <c r="U122" s="83"/>
      <c r="V122" s="78"/>
      <c r="W122" s="78"/>
      <c r="X122" s="78"/>
      <c r="Y122" s="78"/>
      <c r="Z122" s="78"/>
      <c r="AA122" s="78"/>
      <c r="AB122" s="79"/>
      <c r="AC122" s="79"/>
      <c r="AD122" s="79"/>
      <c r="AF122" s="35"/>
      <c r="AG122" s="35"/>
      <c r="AI122" s="35"/>
    </row>
    <row r="123" spans="1:39" s="60" customFormat="1" ht="13.5" customHeight="1" x14ac:dyDescent="0.35">
      <c r="A123" s="35"/>
      <c r="B123" s="35"/>
      <c r="C123" s="67" t="e">
        <f>VLOOKUP(B121,Уч!$A$2:$L$26,7,FALSE)</f>
        <v>#N/A</v>
      </c>
      <c r="D123" s="107"/>
      <c r="E123" s="33" t="s">
        <v>77</v>
      </c>
      <c r="F123" s="72" t="e">
        <f>VLOOKUP($B121,'100 м 1'!$C$18:$I$86,7,FALSE)</f>
        <v>#N/A</v>
      </c>
      <c r="G123" s="70" t="e">
        <f>VLOOKUP($B121,'длина 2 '!$C$16:$O$54,13,FALSE)</f>
        <v>#N/A</v>
      </c>
      <c r="H123" s="70" t="e">
        <f>VLOOKUP($B121,'ядро 2'!$C$16:$K$60,9,FALSE)</f>
        <v>#N/A</v>
      </c>
      <c r="I123" s="70">
        <f>VLOOKUP($B121,'высота 2'!$C$16:$AF$57,24,)</f>
        <v>0</v>
      </c>
      <c r="J123" s="70">
        <f>VLOOKUP($B121,'4_р'!$C$17:$H$73,6,FALSE)</f>
        <v>696</v>
      </c>
      <c r="K123" s="70">
        <f>VLOOKUP($B121,'1cб_р'!$C$17:$I$63,7,FALSE)</f>
        <v>585</v>
      </c>
      <c r="L123" s="70">
        <f>VLOOKUP($B121,Дс_р!$C$16:$K$70,9,FALSE)</f>
        <v>472</v>
      </c>
      <c r="M123" s="70">
        <f>VLOOKUP($B121,Ш_р!$C$15:$AF$69,18,FALSE)</f>
        <v>0</v>
      </c>
      <c r="N123" s="70">
        <f>VLOOKUP($B121,К_р!$C$15:$K$68,9,FALSE)</f>
        <v>479</v>
      </c>
      <c r="O123" s="70">
        <f>VLOOKUP($B121,'15_р'!$C$17:$H$86,6,FALSE)</f>
        <v>860</v>
      </c>
      <c r="P123" s="97"/>
      <c r="Q123" s="34"/>
      <c r="R123" s="63"/>
      <c r="S123" s="31" t="e">
        <f>$A121</f>
        <v>#N/A</v>
      </c>
      <c r="T123" s="31">
        <v>3</v>
      </c>
      <c r="U123" s="83"/>
      <c r="V123" s="78"/>
      <c r="W123" s="78"/>
      <c r="X123" s="78"/>
      <c r="Y123" s="78"/>
      <c r="Z123" s="78"/>
      <c r="AA123" s="78"/>
      <c r="AB123" s="79"/>
      <c r="AC123" s="79"/>
      <c r="AD123" s="79"/>
      <c r="AF123" s="35"/>
      <c r="AG123" s="35"/>
      <c r="AI123" s="35"/>
    </row>
    <row r="124" spans="1:39" s="60" customFormat="1" ht="13.5" customHeight="1" x14ac:dyDescent="0.35">
      <c r="A124" s="35"/>
      <c r="B124" s="35"/>
      <c r="C124" s="66" t="e">
        <f>VLOOKUP(B121,Уч!$A$2:$L$26,11,FALSE)</f>
        <v>#N/A</v>
      </c>
      <c r="D124" s="107"/>
      <c r="E124" s="33" t="s">
        <v>98</v>
      </c>
      <c r="F124" s="72" t="e">
        <f>F123</f>
        <v>#N/A</v>
      </c>
      <c r="G124" s="70" t="e">
        <f>F124+G123</f>
        <v>#N/A</v>
      </c>
      <c r="H124" s="70" t="e">
        <f>G124+H123</f>
        <v>#N/A</v>
      </c>
      <c r="I124" s="70" t="e">
        <f>H124+I123</f>
        <v>#N/A</v>
      </c>
      <c r="J124" s="70" t="e">
        <f>SUM($F123:J123)</f>
        <v>#N/A</v>
      </c>
      <c r="K124" s="70" t="e">
        <f>SUM($F123:$K123)</f>
        <v>#N/A</v>
      </c>
      <c r="L124" s="70" t="e">
        <f>K124+L123</f>
        <v>#N/A</v>
      </c>
      <c r="M124" s="70" t="e">
        <f>L124+M123</f>
        <v>#N/A</v>
      </c>
      <c r="N124" s="70" t="e">
        <f>SUM($F123:$N123)</f>
        <v>#N/A</v>
      </c>
      <c r="O124" s="70" t="e">
        <f>SUM($F123:$O123)</f>
        <v>#N/A</v>
      </c>
      <c r="P124" s="97"/>
      <c r="Q124" s="80"/>
      <c r="R124" s="63"/>
      <c r="S124" s="31" t="e">
        <f>$A121</f>
        <v>#N/A</v>
      </c>
      <c r="T124" s="31">
        <v>4</v>
      </c>
      <c r="U124" s="63" t="e">
        <f t="shared" ref="U124:AD124" si="22">F124</f>
        <v>#N/A</v>
      </c>
      <c r="V124" s="63" t="e">
        <f t="shared" si="22"/>
        <v>#N/A</v>
      </c>
      <c r="W124" s="63" t="e">
        <f t="shared" si="22"/>
        <v>#N/A</v>
      </c>
      <c r="X124" s="63" t="e">
        <f t="shared" si="22"/>
        <v>#N/A</v>
      </c>
      <c r="Y124" s="63" t="e">
        <f t="shared" si="22"/>
        <v>#N/A</v>
      </c>
      <c r="Z124" s="63" t="e">
        <f t="shared" si="22"/>
        <v>#N/A</v>
      </c>
      <c r="AA124" s="63" t="e">
        <f t="shared" si="22"/>
        <v>#N/A</v>
      </c>
      <c r="AB124" s="63" t="e">
        <f t="shared" si="22"/>
        <v>#N/A</v>
      </c>
      <c r="AC124" s="63" t="e">
        <f t="shared" si="22"/>
        <v>#N/A</v>
      </c>
      <c r="AD124" s="63" t="e">
        <f t="shared" si="22"/>
        <v>#N/A</v>
      </c>
      <c r="AF124" s="35"/>
      <c r="AG124" s="35"/>
      <c r="AI124" s="35"/>
    </row>
    <row r="125" spans="1:39" s="60" customFormat="1" ht="13.5" customHeight="1" thickBot="1" x14ac:dyDescent="0.4">
      <c r="A125" s="73"/>
      <c r="B125" s="73"/>
      <c r="C125" s="74" t="e">
        <f>VLOOKUP(B121,Уч!$A$2:$L$26,12,FALSE)</f>
        <v>#N/A</v>
      </c>
      <c r="D125" s="108"/>
      <c r="E125" s="43" t="s">
        <v>37</v>
      </c>
      <c r="F125" s="75" t="e">
        <f>RANK(F124,$U$19:$U$165,0)</f>
        <v>#N/A</v>
      </c>
      <c r="G125" s="76" t="e">
        <f>RANK(G124,$V$19:$V$165,0)</f>
        <v>#N/A</v>
      </c>
      <c r="H125" s="76" t="e">
        <f>RANK(H124,$W$19:$W$165,0)</f>
        <v>#N/A</v>
      </c>
      <c r="I125" s="76" t="e">
        <f>RANK(I124,$X$19:$X$165,0)</f>
        <v>#N/A</v>
      </c>
      <c r="J125" s="76" t="e">
        <f>RANK(J124,$Y$19:$Y$165,0)</f>
        <v>#N/A</v>
      </c>
      <c r="K125" s="76" t="e">
        <f>RANK(K124,$Z$19:$Z$165,0)</f>
        <v>#N/A</v>
      </c>
      <c r="L125" s="76" t="e">
        <f>RANK(L124,$AA$19:$AA$165,0)</f>
        <v>#N/A</v>
      </c>
      <c r="M125" s="76" t="e">
        <f>RANK(M124,$AB$19:$AB$155,0)</f>
        <v>#N/A</v>
      </c>
      <c r="N125" s="76" t="e">
        <f>RANK(N124,$AC$19:$AC$165,0)</f>
        <v>#N/A</v>
      </c>
      <c r="O125" s="76" t="e">
        <f>RANK(O124,$AD$19:$AD$165,0)</f>
        <v>#N/A</v>
      </c>
      <c r="P125" s="98"/>
      <c r="Q125" s="81"/>
      <c r="R125" s="77"/>
      <c r="S125" s="31" t="e">
        <f>$A121</f>
        <v>#N/A</v>
      </c>
      <c r="T125" s="31">
        <v>5</v>
      </c>
      <c r="U125" s="83"/>
      <c r="V125" s="78"/>
      <c r="W125" s="78"/>
      <c r="X125" s="78"/>
      <c r="Y125" s="78"/>
      <c r="Z125" s="78"/>
      <c r="AA125" s="78"/>
      <c r="AB125" s="79"/>
      <c r="AC125" s="79"/>
      <c r="AD125" s="79"/>
      <c r="AF125" s="35"/>
      <c r="AG125" s="35"/>
      <c r="AI125" s="35"/>
    </row>
    <row r="126" spans="1:39" s="60" customFormat="1" ht="13.5" customHeight="1" thickTop="1" x14ac:dyDescent="0.35">
      <c r="A126" s="35" t="e">
        <f>RANK(P126,$P$16:$P$165,0)</f>
        <v>#N/A</v>
      </c>
      <c r="B126" s="35">
        <v>97</v>
      </c>
      <c r="C126" s="60" t="e">
        <f>VLOOKUP(B126,Уч!$A$2:$L$26,2,FALSE)</f>
        <v>#N/A</v>
      </c>
      <c r="D126" s="107" t="e">
        <f>VLOOKUP(B126,Уч!$A$2:$L$26,3,FALSE)</f>
        <v>#N/A</v>
      </c>
      <c r="E126" s="33" t="s">
        <v>28</v>
      </c>
      <c r="F126" s="61" t="e">
        <f>VLOOKUP($B126,'100 м 1'!$C$18:$I$86,5,FALSE)</f>
        <v>#N/A</v>
      </c>
      <c r="G126" s="62" t="e">
        <f>VLOOKUP($B126,'длина 2 '!$C$16:$O$54,11,FALSE)</f>
        <v>#N/A</v>
      </c>
      <c r="H126" s="62" t="e">
        <f>VLOOKUP($B126,'ядро 2'!$C$16:$K$60,8,FALSE)</f>
        <v>#N/A</v>
      </c>
      <c r="I126" s="62" t="e">
        <f>VLOOKUP($B126,'высота 2'!$C$16:$AF$57,23,FALSE)</f>
        <v>#N/A</v>
      </c>
      <c r="J126" s="62" t="e">
        <f>VLOOKUP($B126,'4_р'!$C$17:$H$73,5,FALSE)</f>
        <v>#N/A</v>
      </c>
      <c r="K126" s="62" t="e">
        <f>VLOOKUP($B126,'1cб_р'!$C$17:$I$63,5,FALSE)</f>
        <v>#N/A</v>
      </c>
      <c r="L126" s="62" t="e">
        <f>VLOOKUP($B126,Дс_р!$C$16:$K$70,8,FALSE)</f>
        <v>#N/A</v>
      </c>
      <c r="M126" s="62" t="e">
        <f>VLOOKUP($B126,Ш_р!$C$15:$AF$69,17,FALSE)</f>
        <v>#N/A</v>
      </c>
      <c r="N126" s="62" t="e">
        <f>VLOOKUP($B126,К_р!$C$15:$K$68,8,FALSE)</f>
        <v>#N/A</v>
      </c>
      <c r="O126" s="70" t="e">
        <f>VLOOKUP($B126,'15_р'!$C$17:$H$86,5,FALSE)</f>
        <v>#N/A</v>
      </c>
      <c r="P126" s="97" t="e">
        <f>SUM(F128:O128)</f>
        <v>#N/A</v>
      </c>
      <c r="Q126" s="35" t="e">
        <f>LOOKUP(P126,$V$1:$V$7,$W$1:$W$7)</f>
        <v>#N/A</v>
      </c>
      <c r="R126" s="35"/>
      <c r="S126" s="31" t="e">
        <f>$A126</f>
        <v>#N/A</v>
      </c>
      <c r="T126" s="31">
        <v>1</v>
      </c>
      <c r="U126" s="83"/>
      <c r="V126" s="78"/>
      <c r="W126" s="78"/>
      <c r="X126" s="78"/>
      <c r="Y126" s="78"/>
      <c r="Z126" s="78"/>
      <c r="AA126" s="78"/>
      <c r="AB126" s="79"/>
      <c r="AC126" s="79"/>
      <c r="AD126" s="79"/>
      <c r="AF126" s="35"/>
      <c r="AG126" s="35"/>
      <c r="AI126" s="35"/>
    </row>
    <row r="127" spans="1:39" s="60" customFormat="1" ht="13.5" customHeight="1" x14ac:dyDescent="0.35">
      <c r="A127" s="35"/>
      <c r="B127" s="35"/>
      <c r="C127" s="66" t="e">
        <f>VLOOKUP(B126,Уч!$A$2:$L$26,5,FALSE)</f>
        <v>#N/A</v>
      </c>
      <c r="D127" s="109" t="e">
        <f>VLOOKUP(B126,Уч!$A$2:$L$26,4,FALSE)</f>
        <v>#N/A</v>
      </c>
      <c r="E127" s="33" t="s">
        <v>97</v>
      </c>
      <c r="F127" s="68" t="e">
        <f>VLOOKUP($B126,'100 м 1'!$C$18:$I$86,6,FALSE)</f>
        <v>#N/A</v>
      </c>
      <c r="G127" s="69" t="e">
        <f>VLOOKUP($B126,'длина 2 '!$C$16:$O$54,12,FALSE)</f>
        <v>#N/A</v>
      </c>
      <c r="H127" s="70"/>
      <c r="I127" s="69"/>
      <c r="J127" s="69"/>
      <c r="K127" s="69" t="e">
        <f>VLOOKUP($B126,'1cб_р'!$C$17:$I$63,6,FALSE)</f>
        <v>#N/A</v>
      </c>
      <c r="L127" s="69"/>
      <c r="M127" s="69"/>
      <c r="N127" s="70"/>
      <c r="O127" s="70"/>
      <c r="P127" s="97"/>
      <c r="Q127" s="36"/>
      <c r="R127" s="63"/>
      <c r="S127" s="31" t="e">
        <f>$A126</f>
        <v>#N/A</v>
      </c>
      <c r="T127" s="31">
        <v>2</v>
      </c>
      <c r="U127" s="83"/>
      <c r="V127" s="78"/>
      <c r="W127" s="78"/>
      <c r="X127" s="78"/>
      <c r="Y127" s="78"/>
      <c r="Z127" s="78"/>
      <c r="AA127" s="78"/>
      <c r="AB127" s="79"/>
      <c r="AC127" s="79"/>
      <c r="AD127" s="79"/>
      <c r="AF127" s="35"/>
      <c r="AG127" s="35"/>
      <c r="AI127" s="35"/>
    </row>
    <row r="128" spans="1:39" s="60" customFormat="1" ht="13.5" customHeight="1" x14ac:dyDescent="0.35">
      <c r="A128" s="35"/>
      <c r="B128" s="35"/>
      <c r="C128" s="67" t="e">
        <f>VLOOKUP(B126,Уч!$A$2:$L$26,7,FALSE)</f>
        <v>#N/A</v>
      </c>
      <c r="D128" s="109"/>
      <c r="E128" s="33" t="s">
        <v>77</v>
      </c>
      <c r="F128" s="72" t="e">
        <f>VLOOKUP($B126,'100 м 1'!$C$18:$I$86,7,FALSE)</f>
        <v>#N/A</v>
      </c>
      <c r="G128" s="70" t="e">
        <f>VLOOKUP($B126,'длина 2 '!$C$16:$O$54,13,FALSE)</f>
        <v>#N/A</v>
      </c>
      <c r="H128" s="70" t="e">
        <f>VLOOKUP($B126,'ядро 2'!$C$16:$K$60,9,FALSE)</f>
        <v>#N/A</v>
      </c>
      <c r="I128" s="70" t="e">
        <f>VLOOKUP($B126,'высота 2'!$C$16:$AF$57,24,)</f>
        <v>#N/A</v>
      </c>
      <c r="J128" s="70" t="e">
        <f>VLOOKUP($B126,'4_р'!$C$17:$H$73,6,FALSE)</f>
        <v>#N/A</v>
      </c>
      <c r="K128" s="70" t="e">
        <f>VLOOKUP($B126,'1cб_р'!$C$17:$I$63,7,FALSE)</f>
        <v>#N/A</v>
      </c>
      <c r="L128" s="70" t="e">
        <f>VLOOKUP($B126,Дс_р!$C$16:$K$70,9,FALSE)</f>
        <v>#N/A</v>
      </c>
      <c r="M128" s="70" t="e">
        <f>VLOOKUP($B126,Ш_р!$C$15:$AF$69,18,FALSE)</f>
        <v>#N/A</v>
      </c>
      <c r="N128" s="70" t="e">
        <f>VLOOKUP($B126,К_р!$C$15:$K$68,9,FALSE)</f>
        <v>#N/A</v>
      </c>
      <c r="O128" s="70" t="e">
        <f>VLOOKUP($B126,'15_р'!$C$17:$H$86,6,FALSE)</f>
        <v>#N/A</v>
      </c>
      <c r="P128" s="97"/>
      <c r="Q128" s="36"/>
      <c r="R128" s="63"/>
      <c r="S128" s="31" t="e">
        <f>$A126</f>
        <v>#N/A</v>
      </c>
      <c r="T128" s="31">
        <v>3</v>
      </c>
      <c r="U128" s="83"/>
      <c r="V128" s="78"/>
      <c r="W128" s="78"/>
      <c r="X128" s="78"/>
      <c r="Y128" s="78"/>
      <c r="Z128" s="78"/>
      <c r="AA128" s="78"/>
      <c r="AB128" s="79"/>
      <c r="AC128" s="79"/>
      <c r="AD128" s="79"/>
      <c r="AF128" s="35"/>
      <c r="AG128" s="35"/>
      <c r="AI128" s="35"/>
    </row>
    <row r="129" spans="1:39" s="60" customFormat="1" ht="13.5" customHeight="1" x14ac:dyDescent="0.35">
      <c r="A129" s="35"/>
      <c r="B129" s="35"/>
      <c r="C129" s="66" t="e">
        <f>VLOOKUP(B126,Уч!$A$2:$L$26,11,FALSE)</f>
        <v>#N/A</v>
      </c>
      <c r="D129" s="109"/>
      <c r="E129" s="33" t="s">
        <v>98</v>
      </c>
      <c r="F129" s="72" t="e">
        <f>F128</f>
        <v>#N/A</v>
      </c>
      <c r="G129" s="70" t="e">
        <f>F129+G128</f>
        <v>#N/A</v>
      </c>
      <c r="H129" s="70" t="e">
        <f>G129+H128</f>
        <v>#N/A</v>
      </c>
      <c r="I129" s="70" t="e">
        <f>H129+I128</f>
        <v>#N/A</v>
      </c>
      <c r="J129" s="70" t="e">
        <f>SUM($F128:J128)</f>
        <v>#N/A</v>
      </c>
      <c r="K129" s="70" t="e">
        <f>SUM($F128:$K128)</f>
        <v>#N/A</v>
      </c>
      <c r="L129" s="70" t="e">
        <f>K129+L128</f>
        <v>#N/A</v>
      </c>
      <c r="M129" s="70" t="e">
        <f>L129+M128</f>
        <v>#N/A</v>
      </c>
      <c r="N129" s="70" t="e">
        <f>SUM($F128:$N128)</f>
        <v>#N/A</v>
      </c>
      <c r="O129" s="70" t="e">
        <f>SUM($F128:$O128)</f>
        <v>#N/A</v>
      </c>
      <c r="P129" s="97"/>
      <c r="Q129" s="36"/>
      <c r="R129" s="63"/>
      <c r="S129" s="31" t="e">
        <f>$A126</f>
        <v>#N/A</v>
      </c>
      <c r="T129" s="31">
        <v>4</v>
      </c>
      <c r="U129" s="63" t="e">
        <f t="shared" ref="U129:AD129" si="23">F129</f>
        <v>#N/A</v>
      </c>
      <c r="V129" s="63" t="e">
        <f t="shared" si="23"/>
        <v>#N/A</v>
      </c>
      <c r="W129" s="63" t="e">
        <f t="shared" si="23"/>
        <v>#N/A</v>
      </c>
      <c r="X129" s="63" t="e">
        <f t="shared" si="23"/>
        <v>#N/A</v>
      </c>
      <c r="Y129" s="63" t="e">
        <f t="shared" si="23"/>
        <v>#N/A</v>
      </c>
      <c r="Z129" s="63" t="e">
        <f t="shared" si="23"/>
        <v>#N/A</v>
      </c>
      <c r="AA129" s="63" t="e">
        <f t="shared" si="23"/>
        <v>#N/A</v>
      </c>
      <c r="AB129" s="63" t="e">
        <f t="shared" si="23"/>
        <v>#N/A</v>
      </c>
      <c r="AC129" s="63" t="e">
        <f t="shared" si="23"/>
        <v>#N/A</v>
      </c>
      <c r="AD129" s="63" t="e">
        <f t="shared" si="23"/>
        <v>#N/A</v>
      </c>
      <c r="AF129" s="35"/>
      <c r="AG129" s="35"/>
      <c r="AI129" s="35"/>
    </row>
    <row r="130" spans="1:39" s="60" customFormat="1" ht="13.5" customHeight="1" thickBot="1" x14ac:dyDescent="0.4">
      <c r="A130" s="73"/>
      <c r="B130" s="73"/>
      <c r="C130" s="74" t="e">
        <f>VLOOKUP(B126,Уч!$A$2:$L$26,12,FALSE)</f>
        <v>#N/A</v>
      </c>
      <c r="D130" s="110"/>
      <c r="E130" s="43" t="s">
        <v>37</v>
      </c>
      <c r="F130" s="75" t="e">
        <f>RANK(F129,$U$19:$U$165,0)</f>
        <v>#N/A</v>
      </c>
      <c r="G130" s="76" t="e">
        <f>RANK(G129,$V$19:$V$165,0)</f>
        <v>#N/A</v>
      </c>
      <c r="H130" s="76" t="e">
        <f>RANK(H129,$W$19:$W$165,0)</f>
        <v>#N/A</v>
      </c>
      <c r="I130" s="76" t="e">
        <f>RANK(I129,$X$19:$X$165,0)</f>
        <v>#N/A</v>
      </c>
      <c r="J130" s="76" t="e">
        <f>RANK(J129,$Y$19:$Y$165,0)</f>
        <v>#N/A</v>
      </c>
      <c r="K130" s="76" t="e">
        <f>RANK(K129,$Z$19:$Z$165,0)</f>
        <v>#N/A</v>
      </c>
      <c r="L130" s="76" t="e">
        <f>RANK(L129,$AA$19:$AA$165,0)</f>
        <v>#N/A</v>
      </c>
      <c r="M130" s="76" t="e">
        <f>RANK(M129,$AB$19:$AB$155,0)</f>
        <v>#N/A</v>
      </c>
      <c r="N130" s="76" t="e">
        <f>RANK(N129,$AC$19:$AC$165,0)</f>
        <v>#N/A</v>
      </c>
      <c r="O130" s="76" t="e">
        <f>RANK(O129,$AD$19:$AD$165,0)</f>
        <v>#N/A</v>
      </c>
      <c r="P130" s="98"/>
      <c r="Q130" s="50"/>
      <c r="R130" s="77"/>
      <c r="S130" s="31" t="e">
        <f>$A126</f>
        <v>#N/A</v>
      </c>
      <c r="T130" s="31">
        <v>5</v>
      </c>
      <c r="U130" s="83"/>
      <c r="V130" s="78"/>
      <c r="W130" s="78"/>
      <c r="X130" s="78"/>
      <c r="Y130" s="78"/>
      <c r="Z130" s="78"/>
      <c r="AA130" s="78"/>
      <c r="AB130" s="79"/>
      <c r="AC130" s="79"/>
      <c r="AD130" s="79"/>
      <c r="AF130" s="35"/>
      <c r="AG130" s="35"/>
      <c r="AI130" s="35"/>
    </row>
    <row r="131" spans="1:39" s="60" customFormat="1" ht="13.5" customHeight="1" thickTop="1" x14ac:dyDescent="0.35">
      <c r="A131" s="35" t="e">
        <f>RANK(P131,$P$16:$P$165,0)</f>
        <v>#N/A</v>
      </c>
      <c r="B131" s="35">
        <v>54</v>
      </c>
      <c r="C131" s="60" t="e">
        <f>VLOOKUP(B131,Уч!$A$2:$L$26,2,FALSE)</f>
        <v>#N/A</v>
      </c>
      <c r="D131" s="107" t="e">
        <f>VLOOKUP(B131,Уч!$A$2:$L$26,3,FALSE)</f>
        <v>#N/A</v>
      </c>
      <c r="E131" s="33" t="s">
        <v>28</v>
      </c>
      <c r="F131" s="61" t="e">
        <f>VLOOKUP($B131,'100 м 1'!$C$18:$I$86,5,FALSE)</f>
        <v>#N/A</v>
      </c>
      <c r="G131" s="62" t="e">
        <f>VLOOKUP($B131,'длина 2 '!$C$16:$O$54,11,FALSE)</f>
        <v>#N/A</v>
      </c>
      <c r="H131" s="62" t="e">
        <f>VLOOKUP($B131,'ядро 2'!$C$16:$K$60,8,FALSE)</f>
        <v>#N/A</v>
      </c>
      <c r="I131" s="62" t="e">
        <f>VLOOKUP($B131,'высота 2'!$C$16:$AF$57,23,FALSE)</f>
        <v>#N/A</v>
      </c>
      <c r="J131" s="62">
        <f>VLOOKUP($B131,'4_р'!$C$17:$H$73,5,FALSE)</f>
        <v>48.99</v>
      </c>
      <c r="K131" s="62">
        <f>VLOOKUP($B131,'1cб_р'!$C$17:$I$63,5,FALSE)</f>
        <v>14.6</v>
      </c>
      <c r="L131" s="62">
        <f>VLOOKUP($B131,Дс_р!$C$16:$K$70,8,FALSE)</f>
        <v>32.299999999999997</v>
      </c>
      <c r="M131" s="62">
        <f>VLOOKUP($B131,Ш_р!$C$15:$AF$69,17,FALSE)</f>
        <v>0</v>
      </c>
      <c r="N131" s="62">
        <f>VLOOKUP($B131,К_р!$C$15:$K$68,8,FALSE)</f>
        <v>48.55</v>
      </c>
      <c r="O131" s="70" t="str">
        <f>VLOOKUP($B131,'15_р'!$C$17:$H$86,5,FALSE)</f>
        <v>4:43.14</v>
      </c>
      <c r="P131" s="97" t="e">
        <f>SUM(F133:O133)</f>
        <v>#N/A</v>
      </c>
      <c r="Q131" s="104" t="e">
        <f>LOOKUP(P131,$V$1:$V$7,$W$1:$W$7)</f>
        <v>#N/A</v>
      </c>
      <c r="R131" s="35"/>
      <c r="S131" s="31" t="e">
        <f>$A131</f>
        <v>#N/A</v>
      </c>
      <c r="T131" s="31">
        <v>1</v>
      </c>
      <c r="U131" s="64"/>
      <c r="V131" s="64"/>
      <c r="W131" s="64"/>
      <c r="X131" s="64"/>
      <c r="Y131" s="64"/>
      <c r="Z131" s="64"/>
      <c r="AA131" s="64"/>
      <c r="AB131" s="64"/>
      <c r="AC131" s="64"/>
      <c r="AD131" s="64"/>
      <c r="AE131" s="31"/>
      <c r="AF131" s="65" t="s">
        <v>37</v>
      </c>
      <c r="AG131" s="36" t="s">
        <v>77</v>
      </c>
      <c r="AH131" s="65" t="s">
        <v>76</v>
      </c>
      <c r="AI131" s="35" t="s">
        <v>77</v>
      </c>
      <c r="AJ131" s="31"/>
      <c r="AK131" s="31"/>
      <c r="AL131" s="31"/>
      <c r="AM131" s="31"/>
    </row>
    <row r="132" spans="1:39" s="60" customFormat="1" ht="13.5" customHeight="1" x14ac:dyDescent="0.35">
      <c r="A132" s="35"/>
      <c r="B132" s="35"/>
      <c r="C132" s="66" t="e">
        <f>VLOOKUP(B131,Уч!$A$2:$L$26,5,FALSE)</f>
        <v>#N/A</v>
      </c>
      <c r="D132" s="109" t="e">
        <f>VLOOKUP(B131,Уч!$A$2:$L$26,4,FALSE)</f>
        <v>#N/A</v>
      </c>
      <c r="E132" s="33" t="s">
        <v>97</v>
      </c>
      <c r="F132" s="68" t="e">
        <f>VLOOKUP($B131,'100 м 1'!$C$18:$I$86,6,FALSE)</f>
        <v>#N/A</v>
      </c>
      <c r="G132" s="69" t="e">
        <f>VLOOKUP($B131,'длина 2 '!$C$16:$O$54,12,FALSE)</f>
        <v>#N/A</v>
      </c>
      <c r="H132" s="70"/>
      <c r="I132" s="69"/>
      <c r="J132" s="69"/>
      <c r="K132" s="69">
        <f>VLOOKUP($B131,'1cб_р'!$C$17:$I$63,6,FALSE)</f>
        <v>0</v>
      </c>
      <c r="L132" s="69"/>
      <c r="M132" s="69"/>
      <c r="N132" s="70"/>
      <c r="O132" s="70"/>
      <c r="P132" s="97"/>
      <c r="Q132" s="36"/>
      <c r="R132" s="63"/>
      <c r="S132" s="31" t="e">
        <f>$A131</f>
        <v>#N/A</v>
      </c>
      <c r="T132" s="31">
        <v>2</v>
      </c>
      <c r="U132" s="64"/>
      <c r="V132" s="64"/>
      <c r="W132" s="64"/>
      <c r="X132" s="64"/>
      <c r="Y132" s="64"/>
      <c r="Z132" s="64"/>
      <c r="AA132" s="64"/>
      <c r="AB132" s="64"/>
      <c r="AC132" s="64"/>
      <c r="AD132" s="64"/>
      <c r="AE132" s="31"/>
      <c r="AF132" s="65">
        <v>1</v>
      </c>
      <c r="AG132" s="36">
        <v>20</v>
      </c>
      <c r="AH132" s="36" t="s">
        <v>78</v>
      </c>
      <c r="AI132" s="35"/>
      <c r="AJ132" s="31"/>
      <c r="AK132" s="31"/>
      <c r="AL132" s="31"/>
      <c r="AM132" s="31"/>
    </row>
    <row r="133" spans="1:39" s="60" customFormat="1" ht="13.5" customHeight="1" x14ac:dyDescent="0.35">
      <c r="A133" s="35"/>
      <c r="B133" s="35"/>
      <c r="C133" s="67" t="e">
        <f>VLOOKUP(B131,Уч!$A$2:$L$26,7,FALSE)</f>
        <v>#N/A</v>
      </c>
      <c r="D133" s="109"/>
      <c r="E133" s="33" t="s">
        <v>77</v>
      </c>
      <c r="F133" s="72" t="e">
        <f>VLOOKUP($B131,'100 м 1'!$C$18:$I$86,7,FALSE)</f>
        <v>#N/A</v>
      </c>
      <c r="G133" s="70" t="e">
        <f>VLOOKUP($B131,'длина 2 '!$C$16:$O$54,13,FALSE)</f>
        <v>#N/A</v>
      </c>
      <c r="H133" s="70" t="e">
        <f>VLOOKUP($B131,'ядро 2'!$C$16:$K$60,9,FALSE)</f>
        <v>#N/A</v>
      </c>
      <c r="I133" s="70" t="e">
        <f>VLOOKUP($B131,'высота 2'!$C$16:$AF$57,24,)</f>
        <v>#N/A</v>
      </c>
      <c r="J133" s="70">
        <f>VLOOKUP($B131,'4_р'!$C$17:$H$73,6,FALSE)</f>
        <v>862</v>
      </c>
      <c r="K133" s="70">
        <f>VLOOKUP($B131,'1cб_р'!$C$17:$I$63,7,FALSE)</f>
        <v>899</v>
      </c>
      <c r="L133" s="70">
        <f>VLOOKUP($B131,Дс_р!$C$16:$K$70,9,FALSE)</f>
        <v>510</v>
      </c>
      <c r="M133" s="70">
        <f>VLOOKUP($B131,Ш_р!$C$15:$AF$69,18,FALSE)</f>
        <v>0</v>
      </c>
      <c r="N133" s="70">
        <f>VLOOKUP($B131,К_р!$C$15:$K$68,9,FALSE)</f>
        <v>567</v>
      </c>
      <c r="O133" s="70">
        <f>VLOOKUP($B131,'15_р'!$C$17:$H$86,6,FALSE)</f>
        <v>661</v>
      </c>
      <c r="P133" s="97"/>
      <c r="Q133" s="36"/>
      <c r="R133" s="63"/>
      <c r="S133" s="31" t="e">
        <f>$A131</f>
        <v>#N/A</v>
      </c>
      <c r="T133" s="31">
        <v>3</v>
      </c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31"/>
      <c r="AF133" s="65">
        <v>2</v>
      </c>
      <c r="AG133" s="36">
        <v>17</v>
      </c>
      <c r="AH133" s="65" t="s">
        <v>62</v>
      </c>
      <c r="AI133" s="35">
        <v>15</v>
      </c>
      <c r="AJ133" s="31"/>
      <c r="AK133" s="31"/>
      <c r="AL133" s="31"/>
      <c r="AM133" s="31"/>
    </row>
    <row r="134" spans="1:39" s="60" customFormat="1" ht="13.5" customHeight="1" x14ac:dyDescent="0.35">
      <c r="A134" s="35"/>
      <c r="B134" s="35"/>
      <c r="C134" s="66" t="e">
        <f>VLOOKUP(B131,Уч!$A$2:$L$26,11,FALSE)</f>
        <v>#N/A</v>
      </c>
      <c r="D134" s="109"/>
      <c r="E134" s="33" t="s">
        <v>98</v>
      </c>
      <c r="F134" s="72" t="e">
        <f>F133</f>
        <v>#N/A</v>
      </c>
      <c r="G134" s="70" t="e">
        <f>F134+G133</f>
        <v>#N/A</v>
      </c>
      <c r="H134" s="70" t="e">
        <f>G134+H133</f>
        <v>#N/A</v>
      </c>
      <c r="I134" s="70" t="e">
        <f>H134+I133</f>
        <v>#N/A</v>
      </c>
      <c r="J134" s="70" t="e">
        <f>SUM($F133:J133)</f>
        <v>#N/A</v>
      </c>
      <c r="K134" s="70" t="e">
        <f>SUM($F133:$K133)</f>
        <v>#N/A</v>
      </c>
      <c r="L134" s="70" t="e">
        <f>K134+L133</f>
        <v>#N/A</v>
      </c>
      <c r="M134" s="70" t="e">
        <f>L134+M133</f>
        <v>#N/A</v>
      </c>
      <c r="N134" s="70" t="e">
        <f>SUM($F133:$N133)</f>
        <v>#N/A</v>
      </c>
      <c r="O134" s="70" t="e">
        <f>SUM($F133:$O133)</f>
        <v>#N/A</v>
      </c>
      <c r="P134" s="97"/>
      <c r="Q134" s="36"/>
      <c r="R134" s="63"/>
      <c r="S134" s="31" t="e">
        <f>$A131</f>
        <v>#N/A</v>
      </c>
      <c r="T134" s="31">
        <v>4</v>
      </c>
      <c r="U134" s="63" t="e">
        <f t="shared" ref="U134:AD134" si="24">F134</f>
        <v>#N/A</v>
      </c>
      <c r="V134" s="63" t="e">
        <f t="shared" si="24"/>
        <v>#N/A</v>
      </c>
      <c r="W134" s="63" t="e">
        <f t="shared" si="24"/>
        <v>#N/A</v>
      </c>
      <c r="X134" s="63" t="e">
        <f t="shared" si="24"/>
        <v>#N/A</v>
      </c>
      <c r="Y134" s="63" t="e">
        <f t="shared" si="24"/>
        <v>#N/A</v>
      </c>
      <c r="Z134" s="63" t="e">
        <f t="shared" si="24"/>
        <v>#N/A</v>
      </c>
      <c r="AA134" s="63" t="e">
        <f t="shared" si="24"/>
        <v>#N/A</v>
      </c>
      <c r="AB134" s="63" t="e">
        <f t="shared" si="24"/>
        <v>#N/A</v>
      </c>
      <c r="AC134" s="63" t="e">
        <f t="shared" si="24"/>
        <v>#N/A</v>
      </c>
      <c r="AD134" s="63" t="e">
        <f t="shared" si="24"/>
        <v>#N/A</v>
      </c>
      <c r="AE134" s="31"/>
      <c r="AF134" s="65">
        <v>3</v>
      </c>
      <c r="AG134" s="36">
        <v>15</v>
      </c>
      <c r="AH134" s="65" t="s">
        <v>60</v>
      </c>
      <c r="AI134" s="35">
        <v>5</v>
      </c>
      <c r="AJ134" s="31"/>
      <c r="AK134" s="31"/>
      <c r="AL134" s="31"/>
      <c r="AM134" s="31"/>
    </row>
    <row r="135" spans="1:39" s="60" customFormat="1" ht="13.5" customHeight="1" thickBot="1" x14ac:dyDescent="0.4">
      <c r="A135" s="73"/>
      <c r="B135" s="73"/>
      <c r="C135" s="74" t="e">
        <f>VLOOKUP(B131,Уч!$A$2:$L$26,12,FALSE)</f>
        <v>#N/A</v>
      </c>
      <c r="D135" s="110"/>
      <c r="E135" s="43" t="s">
        <v>37</v>
      </c>
      <c r="F135" s="75" t="e">
        <f>RANK(F134,$U$19:$U$165,0)</f>
        <v>#N/A</v>
      </c>
      <c r="G135" s="76" t="e">
        <f>RANK(G134,$V$19:$V$165,0)</f>
        <v>#N/A</v>
      </c>
      <c r="H135" s="76" t="e">
        <f>RANK(H134,$W$19:$W$165,0)</f>
        <v>#N/A</v>
      </c>
      <c r="I135" s="76" t="e">
        <f>RANK(I134,$X$19:$X$165,0)</f>
        <v>#N/A</v>
      </c>
      <c r="J135" s="76" t="e">
        <f>RANK(J134,$Y$19:$Y$165,0)</f>
        <v>#N/A</v>
      </c>
      <c r="K135" s="76" t="e">
        <f>RANK(K134,$Z$19:$Z$165,0)</f>
        <v>#N/A</v>
      </c>
      <c r="L135" s="76" t="e">
        <f>RANK(L134,$AA$19:$AA$165,0)</f>
        <v>#N/A</v>
      </c>
      <c r="M135" s="76" t="e">
        <f>RANK(M134,$AB$19:$AB$155,0)</f>
        <v>#N/A</v>
      </c>
      <c r="N135" s="76" t="e">
        <f>RANK(N134,$AC$19:$AC$165,0)</f>
        <v>#N/A</v>
      </c>
      <c r="O135" s="76" t="e">
        <f>RANK(O134,$AD$19:$AD$165,0)</f>
        <v>#N/A</v>
      </c>
      <c r="P135" s="98"/>
      <c r="Q135" s="50"/>
      <c r="R135" s="77"/>
      <c r="S135" s="31" t="e">
        <f>$A131</f>
        <v>#N/A</v>
      </c>
      <c r="T135" s="31">
        <v>5</v>
      </c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31"/>
      <c r="AF135" s="65">
        <v>4</v>
      </c>
      <c r="AG135" s="36">
        <v>14</v>
      </c>
      <c r="AI135" s="35"/>
      <c r="AJ135" s="31"/>
      <c r="AK135" s="31"/>
      <c r="AL135" s="31"/>
      <c r="AM135" s="31"/>
    </row>
    <row r="136" spans="1:39" s="60" customFormat="1" ht="13.5" customHeight="1" thickTop="1" x14ac:dyDescent="0.35">
      <c r="A136" s="35" t="e">
        <f>RANK(P136,$P$16:$P$165,0)</f>
        <v>#N/A</v>
      </c>
      <c r="B136" s="35">
        <v>87</v>
      </c>
      <c r="C136" s="60" t="e">
        <f>VLOOKUP(B136,Уч!$A$2:$L$26,2,FALSE)</f>
        <v>#N/A</v>
      </c>
      <c r="D136" s="107" t="e">
        <f>VLOOKUP(B136,Уч!$A$2:$L$26,3,FALSE)</f>
        <v>#N/A</v>
      </c>
      <c r="E136" s="33" t="s">
        <v>28</v>
      </c>
      <c r="F136" s="61" t="e">
        <f>VLOOKUP($B136,'100 м 1'!$C$18:$I$86,5,FALSE)</f>
        <v>#N/A</v>
      </c>
      <c r="G136" s="62" t="e">
        <f>VLOOKUP($B136,'длина 2 '!$C$16:$O$54,11,FALSE)</f>
        <v>#N/A</v>
      </c>
      <c r="H136" s="62" t="e">
        <f>VLOOKUP($B136,'ядро 2'!$C$16:$K$60,8,FALSE)</f>
        <v>#N/A</v>
      </c>
      <c r="I136" s="62" t="e">
        <f>VLOOKUP($B136,'высота 2'!$C$16:$AF$57,23,FALSE)</f>
        <v>#N/A</v>
      </c>
      <c r="J136" s="62" t="e">
        <f>VLOOKUP($B136,'4_р'!$C$17:$H$73,5,FALSE)</f>
        <v>#N/A</v>
      </c>
      <c r="K136" s="62" t="e">
        <f>VLOOKUP($B136,'1cб_р'!$C$17:$I$63,5,FALSE)</f>
        <v>#N/A</v>
      </c>
      <c r="L136" s="62" t="e">
        <f>VLOOKUP($B136,Дс_р!$C$16:$K$70,8,FALSE)</f>
        <v>#N/A</v>
      </c>
      <c r="M136" s="62" t="e">
        <f>VLOOKUP($B136,Ш_р!$C$15:$AF$69,17,FALSE)</f>
        <v>#N/A</v>
      </c>
      <c r="N136" s="62" t="e">
        <f>VLOOKUP($B136,К_р!$C$15:$K$68,8,FALSE)</f>
        <v>#N/A</v>
      </c>
      <c r="O136" s="70" t="e">
        <f>VLOOKUP($B136,'15_р'!$C$17:$H$86,5,FALSE)</f>
        <v>#N/A</v>
      </c>
      <c r="P136" s="97" t="e">
        <f>SUM(F138:O138)</f>
        <v>#N/A</v>
      </c>
      <c r="Q136" s="35" t="e">
        <f>LOOKUP(P136,$V$1:$V$7,$W$1:$W$7)</f>
        <v>#N/A</v>
      </c>
      <c r="R136" s="35"/>
      <c r="S136" s="31" t="e">
        <f>$A136</f>
        <v>#N/A</v>
      </c>
      <c r="T136" s="31">
        <v>1</v>
      </c>
      <c r="U136" s="83"/>
      <c r="V136" s="78"/>
      <c r="W136" s="78"/>
      <c r="X136" s="78"/>
      <c r="Y136" s="78"/>
      <c r="Z136" s="78"/>
      <c r="AA136" s="78"/>
      <c r="AB136" s="79"/>
      <c r="AC136" s="79"/>
      <c r="AD136" s="79"/>
      <c r="AF136" s="35"/>
      <c r="AG136" s="35"/>
      <c r="AI136" s="35"/>
    </row>
    <row r="137" spans="1:39" s="60" customFormat="1" ht="13.5" customHeight="1" x14ac:dyDescent="0.35">
      <c r="A137" s="35"/>
      <c r="B137" s="35"/>
      <c r="C137" s="66" t="e">
        <f>VLOOKUP(B136,Уч!$A$2:$L$26,5,FALSE)</f>
        <v>#N/A</v>
      </c>
      <c r="D137" s="107" t="e">
        <f>VLOOKUP(B136,Уч!$A$2:$L$26,4,FALSE)</f>
        <v>#N/A</v>
      </c>
      <c r="E137" s="33" t="s">
        <v>97</v>
      </c>
      <c r="F137" s="68" t="e">
        <f>VLOOKUP($B136,'100 м 1'!$C$18:$I$86,6,FALSE)</f>
        <v>#N/A</v>
      </c>
      <c r="G137" s="69" t="e">
        <f>VLOOKUP($B136,'длина 2 '!$C$16:$O$54,12,FALSE)</f>
        <v>#N/A</v>
      </c>
      <c r="H137" s="70"/>
      <c r="I137" s="69"/>
      <c r="J137" s="69"/>
      <c r="K137" s="69" t="e">
        <f>VLOOKUP($B136,'1cб_р'!$C$17:$I$63,6,FALSE)</f>
        <v>#N/A</v>
      </c>
      <c r="L137" s="69"/>
      <c r="M137" s="69"/>
      <c r="N137" s="70"/>
      <c r="O137" s="70"/>
      <c r="P137" s="97"/>
      <c r="Q137" s="63"/>
      <c r="R137" s="63"/>
      <c r="S137" s="31" t="e">
        <f>$A136</f>
        <v>#N/A</v>
      </c>
      <c r="T137" s="31">
        <v>2</v>
      </c>
      <c r="U137" s="83"/>
      <c r="V137" s="78"/>
      <c r="W137" s="78"/>
      <c r="X137" s="78"/>
      <c r="Y137" s="78"/>
      <c r="Z137" s="78"/>
      <c r="AA137" s="78"/>
      <c r="AB137" s="79"/>
      <c r="AC137" s="79"/>
      <c r="AD137" s="79"/>
      <c r="AF137" s="35"/>
      <c r="AG137" s="35"/>
      <c r="AI137" s="35"/>
    </row>
    <row r="138" spans="1:39" s="60" customFormat="1" ht="13.5" customHeight="1" x14ac:dyDescent="0.35">
      <c r="A138" s="35"/>
      <c r="B138" s="35"/>
      <c r="C138" s="67" t="e">
        <f>VLOOKUP(B136,Уч!$A$2:$L$26,7,FALSE)</f>
        <v>#N/A</v>
      </c>
      <c r="D138" s="107"/>
      <c r="E138" s="33" t="s">
        <v>77</v>
      </c>
      <c r="F138" s="72" t="e">
        <f>VLOOKUP($B136,'100 м 1'!$C$18:$I$86,7,FALSE)</f>
        <v>#N/A</v>
      </c>
      <c r="G138" s="70" t="e">
        <f>VLOOKUP($B136,'длина 2 '!$C$16:$O$54,13,FALSE)</f>
        <v>#N/A</v>
      </c>
      <c r="H138" s="70" t="e">
        <f>VLOOKUP($B136,'ядро 2'!$C$16:$K$60,9,FALSE)</f>
        <v>#N/A</v>
      </c>
      <c r="I138" s="70" t="e">
        <f>VLOOKUP($B136,'высота 2'!$C$16:$AF$57,24,)</f>
        <v>#N/A</v>
      </c>
      <c r="J138" s="70" t="e">
        <f>VLOOKUP($B136,'4_р'!$C$17:$H$73,6,FALSE)</f>
        <v>#N/A</v>
      </c>
      <c r="K138" s="70" t="e">
        <f>VLOOKUP($B136,'1cб_р'!$C$17:$I$63,7,FALSE)</f>
        <v>#N/A</v>
      </c>
      <c r="L138" s="70" t="e">
        <f>VLOOKUP($B136,Дс_р!$C$16:$K$70,9,FALSE)</f>
        <v>#N/A</v>
      </c>
      <c r="M138" s="70" t="e">
        <f>VLOOKUP($B136,Ш_р!$C$15:$AF$69,18,FALSE)</f>
        <v>#N/A</v>
      </c>
      <c r="N138" s="70" t="e">
        <f>VLOOKUP($B136,К_р!$C$15:$K$68,9,FALSE)</f>
        <v>#N/A</v>
      </c>
      <c r="O138" s="70" t="e">
        <f>VLOOKUP($B136,'15_р'!$C$17:$H$86,6,FALSE)</f>
        <v>#N/A</v>
      </c>
      <c r="P138" s="97"/>
      <c r="Q138" s="63"/>
      <c r="R138" s="63"/>
      <c r="S138" s="31" t="e">
        <f>$A136</f>
        <v>#N/A</v>
      </c>
      <c r="T138" s="31">
        <v>3</v>
      </c>
      <c r="U138" s="83"/>
      <c r="V138" s="78"/>
      <c r="W138" s="78"/>
      <c r="X138" s="78"/>
      <c r="Y138" s="78"/>
      <c r="Z138" s="78"/>
      <c r="AA138" s="78"/>
      <c r="AB138" s="79"/>
      <c r="AC138" s="79"/>
      <c r="AD138" s="79"/>
      <c r="AF138" s="35"/>
      <c r="AG138" s="35"/>
      <c r="AI138" s="35"/>
    </row>
    <row r="139" spans="1:39" s="60" customFormat="1" ht="13.5" customHeight="1" x14ac:dyDescent="0.35">
      <c r="A139" s="35"/>
      <c r="B139" s="35"/>
      <c r="C139" s="66" t="e">
        <f>VLOOKUP(B136,Уч!$A$2:$L$26,11,FALSE)</f>
        <v>#N/A</v>
      </c>
      <c r="D139" s="107"/>
      <c r="E139" s="33" t="s">
        <v>98</v>
      </c>
      <c r="F139" s="72" t="e">
        <f>F138</f>
        <v>#N/A</v>
      </c>
      <c r="G139" s="70" t="e">
        <f>F139+G138</f>
        <v>#N/A</v>
      </c>
      <c r="H139" s="70" t="e">
        <f>G139+H138</f>
        <v>#N/A</v>
      </c>
      <c r="I139" s="70" t="e">
        <f>H139+I138</f>
        <v>#N/A</v>
      </c>
      <c r="J139" s="70" t="e">
        <f>SUM($F138:J138)</f>
        <v>#N/A</v>
      </c>
      <c r="K139" s="70" t="e">
        <f>SUM($F138:$K138)</f>
        <v>#N/A</v>
      </c>
      <c r="L139" s="70" t="e">
        <f>K139+L138</f>
        <v>#N/A</v>
      </c>
      <c r="M139" s="70" t="e">
        <f>L139+M138</f>
        <v>#N/A</v>
      </c>
      <c r="N139" s="70" t="e">
        <f>SUM($F138:$N138)</f>
        <v>#N/A</v>
      </c>
      <c r="O139" s="70" t="e">
        <f>SUM($F138:$O138)</f>
        <v>#N/A</v>
      </c>
      <c r="P139" s="97"/>
      <c r="Q139" s="63"/>
      <c r="R139" s="63"/>
      <c r="S139" s="31" t="e">
        <f>$A136</f>
        <v>#N/A</v>
      </c>
      <c r="T139" s="31">
        <v>4</v>
      </c>
      <c r="U139" s="63" t="e">
        <f t="shared" ref="U139:AD139" si="25">F139</f>
        <v>#N/A</v>
      </c>
      <c r="V139" s="63" t="e">
        <f t="shared" si="25"/>
        <v>#N/A</v>
      </c>
      <c r="W139" s="63" t="e">
        <f t="shared" si="25"/>
        <v>#N/A</v>
      </c>
      <c r="X139" s="63" t="e">
        <f t="shared" si="25"/>
        <v>#N/A</v>
      </c>
      <c r="Y139" s="63" t="e">
        <f t="shared" si="25"/>
        <v>#N/A</v>
      </c>
      <c r="Z139" s="63" t="e">
        <f t="shared" si="25"/>
        <v>#N/A</v>
      </c>
      <c r="AA139" s="63" t="e">
        <f t="shared" si="25"/>
        <v>#N/A</v>
      </c>
      <c r="AB139" s="63" t="e">
        <f t="shared" si="25"/>
        <v>#N/A</v>
      </c>
      <c r="AC139" s="63" t="e">
        <f t="shared" si="25"/>
        <v>#N/A</v>
      </c>
      <c r="AD139" s="63" t="e">
        <f t="shared" si="25"/>
        <v>#N/A</v>
      </c>
      <c r="AF139" s="35"/>
      <c r="AG139" s="35"/>
      <c r="AI139" s="35"/>
    </row>
    <row r="140" spans="1:39" s="60" customFormat="1" ht="13.5" customHeight="1" thickBot="1" x14ac:dyDescent="0.4">
      <c r="A140" s="73"/>
      <c r="B140" s="73"/>
      <c r="C140" s="74" t="e">
        <f>VLOOKUP(B136,Уч!$A$2:$L$26,12,FALSE)</f>
        <v>#N/A</v>
      </c>
      <c r="D140" s="108"/>
      <c r="E140" s="43" t="s">
        <v>37</v>
      </c>
      <c r="F140" s="75" t="e">
        <f>RANK(F139,$U$19:$U$165,0)</f>
        <v>#N/A</v>
      </c>
      <c r="G140" s="76" t="e">
        <f>RANK(G139,$V$19:$V$165,0)</f>
        <v>#N/A</v>
      </c>
      <c r="H140" s="76" t="e">
        <f>RANK(H139,$W$19:$W$165,0)</f>
        <v>#N/A</v>
      </c>
      <c r="I140" s="76" t="e">
        <f>RANK(I139,$X$19:$X$165,0)</f>
        <v>#N/A</v>
      </c>
      <c r="J140" s="76" t="e">
        <f>RANK(J139,$Y$19:$Y$165,0)</f>
        <v>#N/A</v>
      </c>
      <c r="K140" s="76" t="e">
        <f>RANK(K139,$Z$19:$Z$165,0)</f>
        <v>#N/A</v>
      </c>
      <c r="L140" s="76" t="e">
        <f>RANK(L139,$AA$19:$AA$165,0)</f>
        <v>#N/A</v>
      </c>
      <c r="M140" s="76" t="e">
        <f>RANK(M139,$AB$19:$AB$155,0)</f>
        <v>#N/A</v>
      </c>
      <c r="N140" s="76" t="e">
        <f>RANK(N139,$AC$19:$AC$165,0)</f>
        <v>#N/A</v>
      </c>
      <c r="O140" s="76" t="e">
        <f>RANK(O139,$AD$19:$AD$165,0)</f>
        <v>#N/A</v>
      </c>
      <c r="P140" s="98"/>
      <c r="Q140" s="77"/>
      <c r="R140" s="77"/>
      <c r="S140" s="31" t="e">
        <f>$A136</f>
        <v>#N/A</v>
      </c>
      <c r="T140" s="31">
        <v>5</v>
      </c>
      <c r="U140" s="83"/>
      <c r="V140" s="78"/>
      <c r="W140" s="78"/>
      <c r="X140" s="78"/>
      <c r="Y140" s="78"/>
      <c r="Z140" s="78"/>
      <c r="AA140" s="78"/>
      <c r="AB140" s="79"/>
      <c r="AC140" s="79"/>
      <c r="AD140" s="79"/>
      <c r="AF140" s="35"/>
      <c r="AG140" s="35"/>
      <c r="AI140" s="35"/>
    </row>
    <row r="141" spans="1:39" s="60" customFormat="1" ht="13.5" customHeight="1" thickTop="1" x14ac:dyDescent="0.35">
      <c r="A141" s="35" t="e">
        <f>RANK(P141,$P$16:$P$165,0)</f>
        <v>#N/A</v>
      </c>
      <c r="B141" s="35">
        <v>28</v>
      </c>
      <c r="C141" s="60" t="e">
        <f>VLOOKUP(B141,Уч!$A$2:$L$26,2,FALSE)</f>
        <v>#N/A</v>
      </c>
      <c r="D141" s="107" t="e">
        <f>VLOOKUP(B141,Уч!$A$2:$L$26,3,FALSE)</f>
        <v>#N/A</v>
      </c>
      <c r="E141" s="33" t="s">
        <v>28</v>
      </c>
      <c r="F141" s="61" t="e">
        <f>VLOOKUP($B141,'100 м 1'!$C$18:$I$86,5,FALSE)</f>
        <v>#N/A</v>
      </c>
      <c r="G141" s="62" t="e">
        <f>VLOOKUP($B141,'длина 2 '!$C$16:$O$54,11,FALSE)</f>
        <v>#N/A</v>
      </c>
      <c r="H141" s="62" t="e">
        <f>VLOOKUP($B141,'ядро 2'!$C$16:$K$60,8,FALSE)</f>
        <v>#N/A</v>
      </c>
      <c r="I141" s="62" t="e">
        <f>VLOOKUP($B141,'высота 2'!$C$16:$AF$57,23,FALSE)</f>
        <v>#N/A</v>
      </c>
      <c r="J141" s="62" t="e">
        <f>VLOOKUP($B141,'4_р'!$C$17:$H$73,5,FALSE)</f>
        <v>#N/A</v>
      </c>
      <c r="K141" s="62">
        <f>VLOOKUP($B141,'1cб_р'!$C$17:$I$63,5,FALSE)</f>
        <v>0</v>
      </c>
      <c r="L141" s="62">
        <f>VLOOKUP($B141,Дс_р!$C$16:$K$70,8,FALSE)</f>
        <v>0</v>
      </c>
      <c r="M141" s="62">
        <f>VLOOKUP($B141,Ш_р!$C$15:$AF$69,17,FALSE)</f>
        <v>0</v>
      </c>
      <c r="N141" s="62">
        <f>VLOOKUP($B141,К_р!$C$15:$K$68,8,FALSE)</f>
        <v>0</v>
      </c>
      <c r="O141" s="70">
        <f>VLOOKUP($B141,'15_р'!$C$17:$H$86,5,FALSE)</f>
        <v>0</v>
      </c>
      <c r="P141" s="97" t="e">
        <f>SUM(F143:O143)</f>
        <v>#N/A</v>
      </c>
      <c r="Q141" s="35" t="e">
        <f>LOOKUP(P141,$V$1:$V$7,$W$1:$W$7)</f>
        <v>#N/A</v>
      </c>
      <c r="R141" s="35"/>
      <c r="S141" s="31" t="e">
        <f>$A141</f>
        <v>#N/A</v>
      </c>
      <c r="T141" s="31">
        <v>1</v>
      </c>
      <c r="U141" s="83"/>
      <c r="V141" s="78"/>
      <c r="W141" s="78"/>
      <c r="X141" s="78"/>
      <c r="Y141" s="78"/>
      <c r="Z141" s="78"/>
      <c r="AA141" s="78"/>
      <c r="AB141" s="79"/>
      <c r="AC141" s="79"/>
      <c r="AD141" s="79"/>
      <c r="AF141" s="35"/>
      <c r="AG141" s="35"/>
      <c r="AI141" s="35"/>
    </row>
    <row r="142" spans="1:39" s="60" customFormat="1" ht="13.5" customHeight="1" x14ac:dyDescent="0.35">
      <c r="A142" s="35"/>
      <c r="B142" s="35"/>
      <c r="C142" s="66" t="e">
        <f>VLOOKUP(B141,Уч!$A$2:$L$26,5,FALSE)</f>
        <v>#N/A</v>
      </c>
      <c r="D142" s="107" t="e">
        <f>VLOOKUP(B141,Уч!$A$2:$L$26,4,FALSE)</f>
        <v>#N/A</v>
      </c>
      <c r="E142" s="33" t="s">
        <v>97</v>
      </c>
      <c r="F142" s="68" t="e">
        <f>VLOOKUP($B141,'100 м 1'!$C$18:$I$86,6,FALSE)</f>
        <v>#N/A</v>
      </c>
      <c r="G142" s="69" t="e">
        <f>VLOOKUP($B141,'длина 2 '!$C$16:$O$54,12,FALSE)</f>
        <v>#N/A</v>
      </c>
      <c r="H142" s="70"/>
      <c r="I142" s="69"/>
      <c r="J142" s="69"/>
      <c r="K142" s="69">
        <f>VLOOKUP($B141,'1cб_р'!$C$17:$I$63,6,FALSE)</f>
        <v>0</v>
      </c>
      <c r="L142" s="69"/>
      <c r="M142" s="69"/>
      <c r="N142" s="70"/>
      <c r="O142" s="70"/>
      <c r="P142" s="97"/>
      <c r="Q142" s="63"/>
      <c r="R142" s="63"/>
      <c r="S142" s="31" t="e">
        <f>$A141</f>
        <v>#N/A</v>
      </c>
      <c r="T142" s="31">
        <v>2</v>
      </c>
      <c r="U142" s="83"/>
      <c r="V142" s="78"/>
      <c r="W142" s="78"/>
      <c r="X142" s="78"/>
      <c r="Y142" s="78"/>
      <c r="Z142" s="78"/>
      <c r="AA142" s="78"/>
      <c r="AB142" s="79"/>
      <c r="AC142" s="79"/>
      <c r="AD142" s="79"/>
      <c r="AF142" s="35"/>
      <c r="AG142" s="35"/>
      <c r="AI142" s="35"/>
    </row>
    <row r="143" spans="1:39" s="60" customFormat="1" ht="13.5" customHeight="1" x14ac:dyDescent="0.35">
      <c r="A143" s="35"/>
      <c r="B143" s="35"/>
      <c r="C143" s="67" t="e">
        <f>VLOOKUP(B141,Уч!$A$2:$L$26,7,FALSE)</f>
        <v>#N/A</v>
      </c>
      <c r="D143" s="107"/>
      <c r="E143" s="33" t="s">
        <v>77</v>
      </c>
      <c r="F143" s="72" t="e">
        <f>VLOOKUP($B141,'100 м 1'!$C$18:$I$86,7,FALSE)</f>
        <v>#N/A</v>
      </c>
      <c r="G143" s="70" t="e">
        <f>VLOOKUP($B141,'длина 2 '!$C$16:$O$54,13,FALSE)</f>
        <v>#N/A</v>
      </c>
      <c r="H143" s="70" t="e">
        <f>VLOOKUP($B141,'ядро 2'!$C$16:$K$60,9,FALSE)</f>
        <v>#N/A</v>
      </c>
      <c r="I143" s="70" t="e">
        <f>VLOOKUP($B141,'высота 2'!$C$16:$AF$57,24,)</f>
        <v>#N/A</v>
      </c>
      <c r="J143" s="70" t="e">
        <f>VLOOKUP($B141,'4_р'!$C$17:$H$73,6,FALSE)</f>
        <v>#N/A</v>
      </c>
      <c r="K143" s="70">
        <f>VLOOKUP($B141,'1cб_р'!$C$17:$I$63,7,FALSE)</f>
        <v>0</v>
      </c>
      <c r="L143" s="70">
        <f>VLOOKUP($B141,Дс_р!$C$16:$K$70,9,FALSE)</f>
        <v>0</v>
      </c>
      <c r="M143" s="70">
        <f>VLOOKUP($B141,Ш_р!$C$15:$AF$69,18,FALSE)</f>
        <v>0</v>
      </c>
      <c r="N143" s="70">
        <f>VLOOKUP($B141,К_р!$C$15:$K$68,9,FALSE)</f>
        <v>0</v>
      </c>
      <c r="O143" s="70">
        <f>VLOOKUP($B141,'15_р'!$C$17:$H$86,6,FALSE)</f>
        <v>0</v>
      </c>
      <c r="P143" s="97"/>
      <c r="Q143" s="63"/>
      <c r="R143" s="63"/>
      <c r="S143" s="31" t="e">
        <f>$A141</f>
        <v>#N/A</v>
      </c>
      <c r="T143" s="31">
        <v>3</v>
      </c>
      <c r="U143" s="83"/>
      <c r="V143" s="78"/>
      <c r="W143" s="78"/>
      <c r="X143" s="78"/>
      <c r="Y143" s="78"/>
      <c r="Z143" s="78"/>
      <c r="AA143" s="78"/>
      <c r="AB143" s="79"/>
      <c r="AC143" s="79"/>
      <c r="AD143" s="79"/>
      <c r="AF143" s="35"/>
      <c r="AG143" s="35"/>
      <c r="AI143" s="35"/>
    </row>
    <row r="144" spans="1:39" s="60" customFormat="1" ht="13.5" customHeight="1" x14ac:dyDescent="0.35">
      <c r="A144" s="35"/>
      <c r="B144" s="35"/>
      <c r="C144" s="66" t="e">
        <f>VLOOKUP(B141,Уч!$A$2:$L$26,11,FALSE)</f>
        <v>#N/A</v>
      </c>
      <c r="D144" s="107"/>
      <c r="E144" s="33" t="s">
        <v>98</v>
      </c>
      <c r="F144" s="72" t="e">
        <f>F143</f>
        <v>#N/A</v>
      </c>
      <c r="G144" s="70" t="e">
        <f>F144+G143</f>
        <v>#N/A</v>
      </c>
      <c r="H144" s="70" t="e">
        <f>G144+H143</f>
        <v>#N/A</v>
      </c>
      <c r="I144" s="70" t="e">
        <f>H144+I143</f>
        <v>#N/A</v>
      </c>
      <c r="J144" s="70" t="e">
        <f>SUM($F143:J143)</f>
        <v>#N/A</v>
      </c>
      <c r="K144" s="70" t="e">
        <f>SUM($F143:$K143)</f>
        <v>#N/A</v>
      </c>
      <c r="L144" s="70" t="e">
        <f>K144+L143</f>
        <v>#N/A</v>
      </c>
      <c r="M144" s="70" t="e">
        <f>L144+M143</f>
        <v>#N/A</v>
      </c>
      <c r="N144" s="70" t="e">
        <f>SUM($F143:$N143)</f>
        <v>#N/A</v>
      </c>
      <c r="O144" s="70" t="e">
        <f>SUM($F143:$O143)</f>
        <v>#N/A</v>
      </c>
      <c r="P144" s="97"/>
      <c r="Q144" s="63"/>
      <c r="R144" s="63"/>
      <c r="S144" s="31" t="e">
        <f>$A141</f>
        <v>#N/A</v>
      </c>
      <c r="T144" s="31">
        <v>4</v>
      </c>
      <c r="U144" s="63" t="e">
        <f t="shared" ref="U144:AD144" si="26">F144</f>
        <v>#N/A</v>
      </c>
      <c r="V144" s="63" t="e">
        <f t="shared" si="26"/>
        <v>#N/A</v>
      </c>
      <c r="W144" s="63" t="e">
        <f t="shared" si="26"/>
        <v>#N/A</v>
      </c>
      <c r="X144" s="63" t="e">
        <f t="shared" si="26"/>
        <v>#N/A</v>
      </c>
      <c r="Y144" s="63" t="e">
        <f t="shared" si="26"/>
        <v>#N/A</v>
      </c>
      <c r="Z144" s="63" t="e">
        <f t="shared" si="26"/>
        <v>#N/A</v>
      </c>
      <c r="AA144" s="63" t="e">
        <f t="shared" si="26"/>
        <v>#N/A</v>
      </c>
      <c r="AB144" s="63" t="e">
        <f t="shared" si="26"/>
        <v>#N/A</v>
      </c>
      <c r="AC144" s="63" t="e">
        <f t="shared" si="26"/>
        <v>#N/A</v>
      </c>
      <c r="AD144" s="63" t="e">
        <f t="shared" si="26"/>
        <v>#N/A</v>
      </c>
      <c r="AF144" s="35"/>
      <c r="AG144" s="35"/>
      <c r="AI144" s="35"/>
    </row>
    <row r="145" spans="1:39" s="60" customFormat="1" ht="13.5" customHeight="1" thickBot="1" x14ac:dyDescent="0.4">
      <c r="A145" s="73"/>
      <c r="B145" s="73"/>
      <c r="C145" s="74" t="e">
        <f>VLOOKUP(B141,Уч!$A$2:$L$26,12,FALSE)</f>
        <v>#N/A</v>
      </c>
      <c r="D145" s="108"/>
      <c r="E145" s="43" t="s">
        <v>37</v>
      </c>
      <c r="F145" s="75" t="e">
        <f>RANK(F144,$U$19:$U$165,0)</f>
        <v>#N/A</v>
      </c>
      <c r="G145" s="76" t="e">
        <f>RANK(G144,$V$19:$V$165,0)</f>
        <v>#N/A</v>
      </c>
      <c r="H145" s="76" t="e">
        <f>RANK(H144,$W$19:$W$165,0)</f>
        <v>#N/A</v>
      </c>
      <c r="I145" s="76" t="e">
        <f>RANK(I144,$X$19:$X$165,0)</f>
        <v>#N/A</v>
      </c>
      <c r="J145" s="76" t="e">
        <f>RANK(J144,$Y$19:$Y$165,0)</f>
        <v>#N/A</v>
      </c>
      <c r="K145" s="76" t="e">
        <f>RANK(K144,$Z$19:$Z$165,0)</f>
        <v>#N/A</v>
      </c>
      <c r="L145" s="76" t="e">
        <f>RANK(L144,$AA$19:$AA$165,0)</f>
        <v>#N/A</v>
      </c>
      <c r="M145" s="76" t="e">
        <f>RANK(M144,$AB$19:$AB$155,0)</f>
        <v>#N/A</v>
      </c>
      <c r="N145" s="76" t="e">
        <f>RANK(N144,$AC$19:$AC$165,0)</f>
        <v>#N/A</v>
      </c>
      <c r="O145" s="76" t="e">
        <f>RANK(O144,$AD$19:$AD$165,0)</f>
        <v>#N/A</v>
      </c>
      <c r="P145" s="98"/>
      <c r="Q145" s="77"/>
      <c r="R145" s="77"/>
      <c r="S145" s="31" t="e">
        <f>$A141</f>
        <v>#N/A</v>
      </c>
      <c r="T145" s="31">
        <v>5</v>
      </c>
      <c r="U145" s="83"/>
      <c r="V145" s="78"/>
      <c r="W145" s="78"/>
      <c r="X145" s="78"/>
      <c r="Y145" s="78"/>
      <c r="Z145" s="78"/>
      <c r="AA145" s="78"/>
      <c r="AB145" s="79"/>
      <c r="AC145" s="79"/>
      <c r="AD145" s="79"/>
      <c r="AF145" s="35"/>
      <c r="AG145" s="35"/>
      <c r="AI145" s="35"/>
    </row>
    <row r="146" spans="1:39" s="60" customFormat="1" ht="13.5" customHeight="1" thickTop="1" x14ac:dyDescent="0.35">
      <c r="A146" s="35" t="e">
        <f>RANK(P146,$P$16:$P$165,0)</f>
        <v>#N/A</v>
      </c>
      <c r="B146" s="35">
        <v>92</v>
      </c>
      <c r="C146" s="60" t="e">
        <f>VLOOKUP(B146,Уч!$A$2:$L$26,2,FALSE)</f>
        <v>#N/A</v>
      </c>
      <c r="D146" s="107" t="e">
        <f>VLOOKUP(B146,Уч!$A$2:$L$26,3,FALSE)</f>
        <v>#N/A</v>
      </c>
      <c r="E146" s="33" t="s">
        <v>28</v>
      </c>
      <c r="F146" s="61" t="e">
        <f>VLOOKUP($B146,'100 м 1'!$C$18:$I$86,5,FALSE)</f>
        <v>#N/A</v>
      </c>
      <c r="G146" s="62" t="e">
        <f>VLOOKUP($B146,'длина 2 '!$C$16:$O$54,11,FALSE)</f>
        <v>#N/A</v>
      </c>
      <c r="H146" s="62" t="e">
        <f>VLOOKUP($B146,'ядро 2'!$C$16:$K$60,8,FALSE)</f>
        <v>#N/A</v>
      </c>
      <c r="I146" s="62" t="e">
        <f>VLOOKUP($B146,'высота 2'!$C$16:$AF$57,23,FALSE)</f>
        <v>#N/A</v>
      </c>
      <c r="J146" s="62" t="e">
        <f>VLOOKUP($B146,'4_р'!$C$17:$H$73,5,FALSE)</f>
        <v>#N/A</v>
      </c>
      <c r="K146" s="62" t="e">
        <f>VLOOKUP($B146,'1cб_р'!$C$17:$I$63,5,FALSE)</f>
        <v>#N/A</v>
      </c>
      <c r="L146" s="62" t="e">
        <f>VLOOKUP($B146,Дс_р!$C$16:$K$70,8,FALSE)</f>
        <v>#N/A</v>
      </c>
      <c r="M146" s="62" t="e">
        <f>VLOOKUP($B146,Ш_р!$C$15:$AF$69,17,FALSE)</f>
        <v>#N/A</v>
      </c>
      <c r="N146" s="62" t="e">
        <f>VLOOKUP($B146,К_р!$C$15:$K$68,8,FALSE)</f>
        <v>#N/A</v>
      </c>
      <c r="O146" s="70" t="e">
        <f>VLOOKUP($B146,'15_р'!$C$17:$H$86,5,FALSE)</f>
        <v>#N/A</v>
      </c>
      <c r="P146" s="97" t="e">
        <f>SUM(F148:O148)</f>
        <v>#N/A</v>
      </c>
      <c r="Q146" s="35" t="e">
        <f>LOOKUP(P146,$V$1:$V$7,$W$1:$W$7)</f>
        <v>#N/A</v>
      </c>
      <c r="R146" s="35"/>
      <c r="S146" s="31" t="e">
        <f>$A146</f>
        <v>#N/A</v>
      </c>
      <c r="T146" s="31">
        <v>1</v>
      </c>
      <c r="U146" s="83"/>
      <c r="V146" s="78"/>
      <c r="W146" s="78"/>
      <c r="X146" s="78"/>
      <c r="Y146" s="78"/>
      <c r="Z146" s="78"/>
      <c r="AA146" s="78"/>
      <c r="AB146" s="79"/>
      <c r="AC146" s="79"/>
      <c r="AD146" s="79"/>
      <c r="AF146" s="35"/>
      <c r="AG146" s="35"/>
      <c r="AI146" s="35"/>
    </row>
    <row r="147" spans="1:39" s="60" customFormat="1" ht="13.5" customHeight="1" x14ac:dyDescent="0.35">
      <c r="A147" s="35"/>
      <c r="B147" s="35"/>
      <c r="C147" s="66" t="e">
        <f>VLOOKUP(B146,Уч!$A$2:$L$26,5,FALSE)</f>
        <v>#N/A</v>
      </c>
      <c r="D147" s="107" t="e">
        <f>VLOOKUP(B146,Уч!$A$2:$L$26,4,FALSE)</f>
        <v>#N/A</v>
      </c>
      <c r="E147" s="33" t="s">
        <v>97</v>
      </c>
      <c r="F147" s="68" t="e">
        <f>VLOOKUP($B146,'100 м 1'!$C$18:$I$86,6,FALSE)</f>
        <v>#N/A</v>
      </c>
      <c r="G147" s="69" t="e">
        <f>VLOOKUP($B146,'длина 2 '!$C$16:$O$54,12,FALSE)</f>
        <v>#N/A</v>
      </c>
      <c r="H147" s="70"/>
      <c r="I147" s="69"/>
      <c r="J147" s="69"/>
      <c r="K147" s="69" t="e">
        <f>VLOOKUP($B146,'1cб_р'!$C$17:$I$63,6,FALSE)</f>
        <v>#N/A</v>
      </c>
      <c r="L147" s="69"/>
      <c r="M147" s="69"/>
      <c r="N147" s="70"/>
      <c r="O147" s="70"/>
      <c r="P147" s="97"/>
      <c r="Q147" s="34"/>
      <c r="R147" s="63"/>
      <c r="S147" s="31" t="e">
        <f>$A146</f>
        <v>#N/A</v>
      </c>
      <c r="T147" s="31">
        <v>2</v>
      </c>
      <c r="U147" s="83"/>
      <c r="V147" s="78"/>
      <c r="W147" s="78"/>
      <c r="X147" s="78"/>
      <c r="Y147" s="78"/>
      <c r="Z147" s="78"/>
      <c r="AA147" s="78"/>
      <c r="AB147" s="79"/>
      <c r="AC147" s="79"/>
      <c r="AD147" s="79"/>
      <c r="AF147" s="35"/>
      <c r="AG147" s="35"/>
      <c r="AI147" s="35"/>
    </row>
    <row r="148" spans="1:39" s="60" customFormat="1" ht="13.5" customHeight="1" x14ac:dyDescent="0.35">
      <c r="A148" s="35"/>
      <c r="B148" s="35"/>
      <c r="C148" s="67" t="e">
        <f>VLOOKUP(B146,Уч!$A$2:$L$26,7,FALSE)</f>
        <v>#N/A</v>
      </c>
      <c r="D148" s="107"/>
      <c r="E148" s="33" t="s">
        <v>77</v>
      </c>
      <c r="F148" s="72" t="e">
        <f>VLOOKUP($B146,'100 м 1'!$C$18:$I$86,7,FALSE)</f>
        <v>#N/A</v>
      </c>
      <c r="G148" s="70" t="e">
        <f>VLOOKUP($B146,'длина 2 '!$C$16:$O$54,13,FALSE)</f>
        <v>#N/A</v>
      </c>
      <c r="H148" s="70" t="e">
        <f>VLOOKUP($B146,'ядро 2'!$C$16:$K$60,9,FALSE)</f>
        <v>#N/A</v>
      </c>
      <c r="I148" s="70" t="e">
        <f>VLOOKUP($B146,'высота 2'!$C$16:$AF$57,24,)</f>
        <v>#N/A</v>
      </c>
      <c r="J148" s="70" t="e">
        <f>VLOOKUP($B146,'4_р'!$C$17:$H$73,6,FALSE)</f>
        <v>#N/A</v>
      </c>
      <c r="K148" s="70" t="e">
        <f>VLOOKUP($B146,'1cб_р'!$C$17:$I$63,7,FALSE)</f>
        <v>#N/A</v>
      </c>
      <c r="L148" s="70" t="e">
        <f>VLOOKUP($B146,Дс_р!$C$16:$K$70,9,FALSE)</f>
        <v>#N/A</v>
      </c>
      <c r="M148" s="70" t="e">
        <f>VLOOKUP($B146,Ш_р!$C$15:$AF$69,18,FALSE)</f>
        <v>#N/A</v>
      </c>
      <c r="N148" s="70" t="e">
        <f>VLOOKUP($B146,К_р!$C$15:$K$68,9,FALSE)</f>
        <v>#N/A</v>
      </c>
      <c r="O148" s="70" t="e">
        <f>VLOOKUP($B146,'15_р'!$C$17:$H$86,6,FALSE)</f>
        <v>#N/A</v>
      </c>
      <c r="P148" s="97"/>
      <c r="Q148" s="34"/>
      <c r="R148" s="63"/>
      <c r="S148" s="31" t="e">
        <f>$A146</f>
        <v>#N/A</v>
      </c>
      <c r="T148" s="31">
        <v>3</v>
      </c>
      <c r="U148" s="83"/>
      <c r="V148" s="78"/>
      <c r="W148" s="78"/>
      <c r="X148" s="78"/>
      <c r="Y148" s="78"/>
      <c r="Z148" s="78"/>
      <c r="AA148" s="78"/>
      <c r="AB148" s="79"/>
      <c r="AC148" s="79"/>
      <c r="AD148" s="79"/>
      <c r="AF148" s="35"/>
      <c r="AG148" s="35"/>
      <c r="AI148" s="35"/>
    </row>
    <row r="149" spans="1:39" s="60" customFormat="1" ht="13.5" customHeight="1" x14ac:dyDescent="0.35">
      <c r="A149" s="35"/>
      <c r="B149" s="35"/>
      <c r="C149" s="66" t="e">
        <f>VLOOKUP(B146,Уч!$A$2:$L$26,11,FALSE)</f>
        <v>#N/A</v>
      </c>
      <c r="D149" s="107"/>
      <c r="E149" s="33" t="s">
        <v>98</v>
      </c>
      <c r="F149" s="72" t="e">
        <f>F148</f>
        <v>#N/A</v>
      </c>
      <c r="G149" s="70" t="e">
        <f>F149+G148</f>
        <v>#N/A</v>
      </c>
      <c r="H149" s="70" t="e">
        <f>G149+H148</f>
        <v>#N/A</v>
      </c>
      <c r="I149" s="70" t="e">
        <f>H149+I148</f>
        <v>#N/A</v>
      </c>
      <c r="J149" s="70" t="e">
        <f>SUM($F148:J148)</f>
        <v>#N/A</v>
      </c>
      <c r="K149" s="70" t="e">
        <f>SUM($F148:$K148)</f>
        <v>#N/A</v>
      </c>
      <c r="L149" s="70" t="e">
        <f>K149+L148</f>
        <v>#N/A</v>
      </c>
      <c r="M149" s="70" t="e">
        <f>L149+M148</f>
        <v>#N/A</v>
      </c>
      <c r="N149" s="70" t="e">
        <f>SUM($F148:$N148)</f>
        <v>#N/A</v>
      </c>
      <c r="O149" s="70" t="e">
        <f>SUM($F148:$O148)</f>
        <v>#N/A</v>
      </c>
      <c r="P149" s="97"/>
      <c r="Q149" s="80"/>
      <c r="R149" s="63"/>
      <c r="S149" s="31" t="e">
        <f>$A146</f>
        <v>#N/A</v>
      </c>
      <c r="T149" s="31">
        <v>4</v>
      </c>
      <c r="U149" s="63" t="e">
        <f t="shared" ref="U149:AD149" si="27">F149</f>
        <v>#N/A</v>
      </c>
      <c r="V149" s="63" t="e">
        <f t="shared" si="27"/>
        <v>#N/A</v>
      </c>
      <c r="W149" s="63" t="e">
        <f t="shared" si="27"/>
        <v>#N/A</v>
      </c>
      <c r="X149" s="63" t="e">
        <f t="shared" si="27"/>
        <v>#N/A</v>
      </c>
      <c r="Y149" s="63" t="e">
        <f t="shared" si="27"/>
        <v>#N/A</v>
      </c>
      <c r="Z149" s="63" t="e">
        <f t="shared" si="27"/>
        <v>#N/A</v>
      </c>
      <c r="AA149" s="63" t="e">
        <f t="shared" si="27"/>
        <v>#N/A</v>
      </c>
      <c r="AB149" s="63" t="e">
        <f t="shared" si="27"/>
        <v>#N/A</v>
      </c>
      <c r="AC149" s="63" t="e">
        <f t="shared" si="27"/>
        <v>#N/A</v>
      </c>
      <c r="AD149" s="63" t="e">
        <f t="shared" si="27"/>
        <v>#N/A</v>
      </c>
      <c r="AF149" s="35"/>
      <c r="AG149" s="35"/>
      <c r="AI149" s="35"/>
    </row>
    <row r="150" spans="1:39" s="60" customFormat="1" ht="13.5" customHeight="1" thickBot="1" x14ac:dyDescent="0.4">
      <c r="A150" s="73"/>
      <c r="B150" s="73"/>
      <c r="C150" s="74" t="e">
        <f>VLOOKUP(B146,Уч!$A$2:$L$26,12,FALSE)</f>
        <v>#N/A</v>
      </c>
      <c r="D150" s="108"/>
      <c r="E150" s="43" t="s">
        <v>37</v>
      </c>
      <c r="F150" s="75" t="e">
        <f>RANK(F149,$U$19:$U$165,0)</f>
        <v>#N/A</v>
      </c>
      <c r="G150" s="76" t="e">
        <f>RANK(G149,$V$19:$V$165,0)</f>
        <v>#N/A</v>
      </c>
      <c r="H150" s="76" t="e">
        <f>RANK(H149,$W$19:$W$165,0)</f>
        <v>#N/A</v>
      </c>
      <c r="I150" s="76" t="e">
        <f>RANK(I149,$X$19:$X$165,0)</f>
        <v>#N/A</v>
      </c>
      <c r="J150" s="76" t="e">
        <f>RANK(J149,$Y$19:$Y$165,0)</f>
        <v>#N/A</v>
      </c>
      <c r="K150" s="76" t="e">
        <f>RANK(K149,$Z$19:$Z$165,0)</f>
        <v>#N/A</v>
      </c>
      <c r="L150" s="76" t="e">
        <f>RANK(L149,$AA$19:$AA$165,0)</f>
        <v>#N/A</v>
      </c>
      <c r="M150" s="76" t="e">
        <f>RANK(M149,$AB$19:$AB$155,0)</f>
        <v>#N/A</v>
      </c>
      <c r="N150" s="76" t="e">
        <f>RANK(N149,$AC$19:$AC$165,0)</f>
        <v>#N/A</v>
      </c>
      <c r="O150" s="76" t="e">
        <f>RANK(O149,$AD$19:$AD$165,0)</f>
        <v>#N/A</v>
      </c>
      <c r="P150" s="98"/>
      <c r="Q150" s="81"/>
      <c r="R150" s="77"/>
      <c r="S150" s="31" t="e">
        <f>$A146</f>
        <v>#N/A</v>
      </c>
      <c r="T150" s="31">
        <v>5</v>
      </c>
      <c r="U150" s="83"/>
      <c r="V150" s="78"/>
      <c r="W150" s="78"/>
      <c r="X150" s="78"/>
      <c r="Y150" s="78"/>
      <c r="Z150" s="78"/>
      <c r="AA150" s="78"/>
      <c r="AB150" s="79"/>
      <c r="AC150" s="79"/>
      <c r="AD150" s="79"/>
      <c r="AF150" s="35"/>
      <c r="AG150" s="35"/>
      <c r="AI150" s="35"/>
    </row>
    <row r="151" spans="1:39" s="60" customFormat="1" ht="13.5" customHeight="1" thickTop="1" x14ac:dyDescent="0.35">
      <c r="A151" s="35" t="e">
        <f>RANK(P151,$P$16:$P$165,0)</f>
        <v>#N/A</v>
      </c>
      <c r="B151" s="35">
        <v>93</v>
      </c>
      <c r="C151" s="60" t="e">
        <f>VLOOKUP(B151,Уч!$A$2:$L$26,2,FALSE)</f>
        <v>#N/A</v>
      </c>
      <c r="D151" s="107" t="e">
        <f>VLOOKUP(B151,Уч!$A$2:$L$26,3,FALSE)</f>
        <v>#N/A</v>
      </c>
      <c r="E151" s="33" t="s">
        <v>28</v>
      </c>
      <c r="F151" s="61" t="e">
        <f>VLOOKUP($B151,'100 м 1'!$C$18:$I$86,5,FALSE)</f>
        <v>#N/A</v>
      </c>
      <c r="G151" s="62" t="e">
        <f>VLOOKUP($B151,'длина 2 '!$C$16:$O$54,11,FALSE)</f>
        <v>#N/A</v>
      </c>
      <c r="H151" s="62" t="e">
        <f>VLOOKUP($B151,'ядро 2'!$C$16:$K$60,8,FALSE)</f>
        <v>#N/A</v>
      </c>
      <c r="I151" s="62" t="e">
        <f>VLOOKUP($B151,'высота 2'!$C$16:$AF$57,23,FALSE)</f>
        <v>#N/A</v>
      </c>
      <c r="J151" s="62" t="e">
        <f>VLOOKUP($B151,'4_р'!$C$17:$H$73,5,FALSE)</f>
        <v>#N/A</v>
      </c>
      <c r="K151" s="62" t="e">
        <f>VLOOKUP($B151,'1cб_р'!$C$17:$I$63,5,FALSE)</f>
        <v>#N/A</v>
      </c>
      <c r="L151" s="62" t="e">
        <f>VLOOKUP($B151,Дс_р!$C$16:$K$70,8,FALSE)</f>
        <v>#N/A</v>
      </c>
      <c r="M151" s="62" t="e">
        <f>VLOOKUP($B151,Ш_р!$C$15:$AF$69,17,FALSE)</f>
        <v>#N/A</v>
      </c>
      <c r="N151" s="62" t="e">
        <f>VLOOKUP($B151,К_р!$C$15:$K$68,8,FALSE)</f>
        <v>#N/A</v>
      </c>
      <c r="O151" s="70" t="e">
        <f>VLOOKUP($B151,'15_р'!$C$17:$H$86,5,FALSE)</f>
        <v>#N/A</v>
      </c>
      <c r="P151" s="97" t="e">
        <f>SUM(F153:O153)</f>
        <v>#N/A</v>
      </c>
      <c r="Q151" s="35" t="e">
        <f>LOOKUP(P151,$V$1:$V$7,$W$1:$W$7)</f>
        <v>#N/A</v>
      </c>
      <c r="R151" s="35"/>
      <c r="S151" s="31" t="e">
        <f>$A151</f>
        <v>#N/A</v>
      </c>
      <c r="T151" s="31">
        <v>1</v>
      </c>
      <c r="U151" s="83"/>
      <c r="V151" s="78"/>
      <c r="W151" s="78"/>
      <c r="X151" s="78"/>
      <c r="Y151" s="78"/>
      <c r="Z151" s="78"/>
      <c r="AA151" s="78"/>
      <c r="AB151" s="79"/>
      <c r="AC151" s="79"/>
      <c r="AD151" s="79"/>
      <c r="AF151" s="35"/>
      <c r="AG151" s="35"/>
      <c r="AI151" s="35"/>
    </row>
    <row r="152" spans="1:39" s="60" customFormat="1" ht="13.5" customHeight="1" x14ac:dyDescent="0.35">
      <c r="A152" s="35"/>
      <c r="B152" s="35"/>
      <c r="C152" s="66" t="e">
        <f>VLOOKUP(B151,Уч!$A$2:$L$26,5,FALSE)</f>
        <v>#N/A</v>
      </c>
      <c r="D152" s="109" t="e">
        <f>VLOOKUP(B151,Уч!$A$2:$L$26,4,FALSE)</f>
        <v>#N/A</v>
      </c>
      <c r="E152" s="33" t="s">
        <v>97</v>
      </c>
      <c r="F152" s="68" t="e">
        <f>VLOOKUP($B151,'100 м 1'!$C$18:$I$86,6,FALSE)</f>
        <v>#N/A</v>
      </c>
      <c r="G152" s="69" t="e">
        <f>VLOOKUP($B151,'длина 2 '!$C$16:$O$54,12,FALSE)</f>
        <v>#N/A</v>
      </c>
      <c r="H152" s="70"/>
      <c r="I152" s="69"/>
      <c r="J152" s="69"/>
      <c r="K152" s="69" t="e">
        <f>VLOOKUP($B151,'1cб_р'!$C$17:$I$63,6,FALSE)</f>
        <v>#N/A</v>
      </c>
      <c r="L152" s="69"/>
      <c r="M152" s="69"/>
      <c r="N152" s="70"/>
      <c r="O152" s="70"/>
      <c r="P152" s="97"/>
      <c r="Q152" s="36"/>
      <c r="R152" s="63"/>
      <c r="S152" s="31" t="e">
        <f>$A151</f>
        <v>#N/A</v>
      </c>
      <c r="T152" s="31">
        <v>2</v>
      </c>
      <c r="U152" s="83"/>
      <c r="V152" s="78"/>
      <c r="W152" s="78"/>
      <c r="X152" s="78"/>
      <c r="Y152" s="78"/>
      <c r="Z152" s="78"/>
      <c r="AA152" s="78"/>
      <c r="AB152" s="79"/>
      <c r="AC152" s="79"/>
      <c r="AD152" s="79"/>
      <c r="AF152" s="35"/>
      <c r="AG152" s="35"/>
      <c r="AI152" s="35"/>
    </row>
    <row r="153" spans="1:39" s="60" customFormat="1" ht="13.5" customHeight="1" x14ac:dyDescent="0.35">
      <c r="A153" s="35"/>
      <c r="B153" s="35"/>
      <c r="C153" s="67" t="e">
        <f>VLOOKUP(B151,Уч!$A$2:$L$26,7,FALSE)</f>
        <v>#N/A</v>
      </c>
      <c r="D153" s="109"/>
      <c r="E153" s="33" t="s">
        <v>77</v>
      </c>
      <c r="F153" s="72" t="e">
        <f>VLOOKUP($B151,'100 м 1'!$C$18:$I$86,7,FALSE)</f>
        <v>#N/A</v>
      </c>
      <c r="G153" s="70" t="e">
        <f>VLOOKUP($B151,'длина 2 '!$C$16:$O$54,13,FALSE)</f>
        <v>#N/A</v>
      </c>
      <c r="H153" s="70" t="e">
        <f>VLOOKUP($B151,'ядро 2'!$C$16:$K$60,9,FALSE)</f>
        <v>#N/A</v>
      </c>
      <c r="I153" s="70" t="e">
        <f>VLOOKUP($B151,'высота 2'!$C$16:$AF$57,24,)</f>
        <v>#N/A</v>
      </c>
      <c r="J153" s="70" t="e">
        <f>VLOOKUP($B151,'4_р'!$C$17:$H$73,6,FALSE)</f>
        <v>#N/A</v>
      </c>
      <c r="K153" s="70" t="e">
        <f>VLOOKUP($B151,'1cб_р'!$C$17:$I$63,7,FALSE)</f>
        <v>#N/A</v>
      </c>
      <c r="L153" s="70" t="e">
        <f>VLOOKUP($B151,Дс_р!$C$16:$K$70,9,FALSE)</f>
        <v>#N/A</v>
      </c>
      <c r="M153" s="70" t="e">
        <f>VLOOKUP($B151,Ш_р!$C$15:$AF$69,18,FALSE)</f>
        <v>#N/A</v>
      </c>
      <c r="N153" s="70" t="e">
        <f>VLOOKUP($B151,К_р!$C$15:$K$68,9,FALSE)</f>
        <v>#N/A</v>
      </c>
      <c r="O153" s="70" t="e">
        <f>VLOOKUP($B151,'15_р'!$C$17:$H$86,6,FALSE)</f>
        <v>#N/A</v>
      </c>
      <c r="P153" s="97"/>
      <c r="Q153" s="36"/>
      <c r="R153" s="63"/>
      <c r="S153" s="31" t="e">
        <f>$A151</f>
        <v>#N/A</v>
      </c>
      <c r="T153" s="31">
        <v>3</v>
      </c>
      <c r="U153" s="83"/>
      <c r="V153" s="78"/>
      <c r="W153" s="78"/>
      <c r="X153" s="78"/>
      <c r="Y153" s="78"/>
      <c r="Z153" s="78"/>
      <c r="AA153" s="78"/>
      <c r="AB153" s="79"/>
      <c r="AC153" s="79"/>
      <c r="AD153" s="79"/>
      <c r="AF153" s="35"/>
      <c r="AG153" s="35"/>
      <c r="AI153" s="35"/>
    </row>
    <row r="154" spans="1:39" s="60" customFormat="1" ht="13.5" customHeight="1" x14ac:dyDescent="0.35">
      <c r="A154" s="35"/>
      <c r="B154" s="35"/>
      <c r="C154" s="66" t="e">
        <f>VLOOKUP(B151,Уч!$A$2:$L$26,11,FALSE)</f>
        <v>#N/A</v>
      </c>
      <c r="D154" s="109"/>
      <c r="E154" s="33" t="s">
        <v>98</v>
      </c>
      <c r="F154" s="72" t="e">
        <f>F153</f>
        <v>#N/A</v>
      </c>
      <c r="G154" s="70" t="e">
        <f>F154+G153</f>
        <v>#N/A</v>
      </c>
      <c r="H154" s="70" t="e">
        <f>G154+H153</f>
        <v>#N/A</v>
      </c>
      <c r="I154" s="70" t="e">
        <f>H154+I153</f>
        <v>#N/A</v>
      </c>
      <c r="J154" s="70" t="e">
        <f>SUM($F153:J153)</f>
        <v>#N/A</v>
      </c>
      <c r="K154" s="70" t="e">
        <f>SUM($F153:$K153)</f>
        <v>#N/A</v>
      </c>
      <c r="L154" s="70" t="e">
        <f>K154+L153</f>
        <v>#N/A</v>
      </c>
      <c r="M154" s="70" t="e">
        <f>L154+M153</f>
        <v>#N/A</v>
      </c>
      <c r="N154" s="70" t="e">
        <f>SUM($F153:$N153)</f>
        <v>#N/A</v>
      </c>
      <c r="O154" s="70" t="e">
        <f>SUM($F153:$O153)</f>
        <v>#N/A</v>
      </c>
      <c r="P154" s="97"/>
      <c r="Q154" s="36"/>
      <c r="R154" s="63"/>
      <c r="S154" s="31" t="e">
        <f>$A151</f>
        <v>#N/A</v>
      </c>
      <c r="T154" s="31">
        <v>4</v>
      </c>
      <c r="U154" s="63" t="e">
        <f t="shared" ref="U154:AD154" si="28">F154</f>
        <v>#N/A</v>
      </c>
      <c r="V154" s="63" t="e">
        <f t="shared" si="28"/>
        <v>#N/A</v>
      </c>
      <c r="W154" s="63" t="e">
        <f t="shared" si="28"/>
        <v>#N/A</v>
      </c>
      <c r="X154" s="63" t="e">
        <f t="shared" si="28"/>
        <v>#N/A</v>
      </c>
      <c r="Y154" s="63" t="e">
        <f t="shared" si="28"/>
        <v>#N/A</v>
      </c>
      <c r="Z154" s="63" t="e">
        <f t="shared" si="28"/>
        <v>#N/A</v>
      </c>
      <c r="AA154" s="63" t="e">
        <f t="shared" si="28"/>
        <v>#N/A</v>
      </c>
      <c r="AB154" s="63" t="e">
        <f t="shared" si="28"/>
        <v>#N/A</v>
      </c>
      <c r="AC154" s="63" t="e">
        <f t="shared" si="28"/>
        <v>#N/A</v>
      </c>
      <c r="AD154" s="63" t="e">
        <f t="shared" si="28"/>
        <v>#N/A</v>
      </c>
      <c r="AF154" s="35"/>
      <c r="AG154" s="35"/>
      <c r="AI154" s="35"/>
    </row>
    <row r="155" spans="1:39" s="60" customFormat="1" ht="13.5" customHeight="1" thickBot="1" x14ac:dyDescent="0.4">
      <c r="A155" s="73"/>
      <c r="B155" s="73"/>
      <c r="C155" s="74" t="e">
        <f>VLOOKUP(B151,Уч!$A$2:$L$26,12,FALSE)</f>
        <v>#N/A</v>
      </c>
      <c r="D155" s="110"/>
      <c r="E155" s="43" t="s">
        <v>37</v>
      </c>
      <c r="F155" s="75" t="e">
        <f>RANK(F154,$U$19:$U$165,0)</f>
        <v>#N/A</v>
      </c>
      <c r="G155" s="76" t="e">
        <f>RANK(G154,$V$19:$V$165,0)</f>
        <v>#N/A</v>
      </c>
      <c r="H155" s="76" t="e">
        <f>RANK(H154,$W$19:$W$165,0)</f>
        <v>#N/A</v>
      </c>
      <c r="I155" s="76" t="e">
        <f>RANK(I154,$X$19:$X$165,0)</f>
        <v>#N/A</v>
      </c>
      <c r="J155" s="76" t="e">
        <f>RANK(J154,$Y$19:$Y$165,0)</f>
        <v>#N/A</v>
      </c>
      <c r="K155" s="76" t="e">
        <f>RANK(K154,$Z$19:$Z$165,0)</f>
        <v>#N/A</v>
      </c>
      <c r="L155" s="76" t="e">
        <f>RANK(L154,$AA$19:$AA$165,0)</f>
        <v>#N/A</v>
      </c>
      <c r="M155" s="76" t="e">
        <f>RANK(M154,$AB$19:$AB$155,0)</f>
        <v>#N/A</v>
      </c>
      <c r="N155" s="76" t="e">
        <f>RANK(N154,$AC$19:$AC$165,0)</f>
        <v>#N/A</v>
      </c>
      <c r="O155" s="76" t="e">
        <f>RANK(O154,$AD$19:$AD$165,0)</f>
        <v>#N/A</v>
      </c>
      <c r="P155" s="98"/>
      <c r="Q155" s="50"/>
      <c r="R155" s="77"/>
      <c r="S155" s="31" t="e">
        <f>$A151</f>
        <v>#N/A</v>
      </c>
      <c r="T155" s="31">
        <v>5</v>
      </c>
      <c r="U155" s="83"/>
      <c r="V155" s="78"/>
      <c r="W155" s="78"/>
      <c r="X155" s="78"/>
      <c r="Y155" s="78"/>
      <c r="Z155" s="78"/>
      <c r="AA155" s="78"/>
      <c r="AB155" s="79"/>
      <c r="AC155" s="79"/>
      <c r="AD155" s="79"/>
      <c r="AF155" s="35"/>
      <c r="AG155" s="35"/>
      <c r="AI155" s="35"/>
    </row>
    <row r="156" spans="1:39" s="60" customFormat="1" ht="13.5" customHeight="1" thickTop="1" x14ac:dyDescent="0.35">
      <c r="A156" s="35" t="s">
        <v>105</v>
      </c>
      <c r="B156" s="35">
        <v>63</v>
      </c>
      <c r="C156" s="60" t="e">
        <f>VLOOKUP(B156,Уч!$A$2:$L$26,2,FALSE)</f>
        <v>#N/A</v>
      </c>
      <c r="D156" s="107" t="e">
        <f>VLOOKUP(B156,Уч!$A$2:$L$26,3,FALSE)</f>
        <v>#N/A</v>
      </c>
      <c r="E156" s="33" t="s">
        <v>28</v>
      </c>
      <c r="F156" s="61" t="s">
        <v>115</v>
      </c>
      <c r="G156" s="62"/>
      <c r="H156" s="62"/>
      <c r="I156" s="62"/>
      <c r="J156" s="62"/>
      <c r="K156" s="62"/>
      <c r="L156" s="62"/>
      <c r="M156" s="62"/>
      <c r="N156" s="62"/>
      <c r="O156" s="70"/>
      <c r="P156" s="97"/>
      <c r="Q156" s="104" t="str">
        <f>LOOKUP(P156,$V$1:$V$7,$W$1:$W$7)</f>
        <v>б/р</v>
      </c>
      <c r="R156" s="35"/>
      <c r="S156" s="31" t="str">
        <f>$A156</f>
        <v>бм</v>
      </c>
      <c r="T156" s="31">
        <v>1</v>
      </c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31"/>
      <c r="AF156" s="65" t="s">
        <v>37</v>
      </c>
      <c r="AG156" s="36" t="s">
        <v>77</v>
      </c>
      <c r="AH156" s="65" t="s">
        <v>76</v>
      </c>
      <c r="AI156" s="35" t="s">
        <v>77</v>
      </c>
      <c r="AJ156" s="31"/>
      <c r="AK156" s="31"/>
      <c r="AL156" s="31"/>
      <c r="AM156" s="31"/>
    </row>
    <row r="157" spans="1:39" s="60" customFormat="1" ht="13.5" customHeight="1" x14ac:dyDescent="0.35">
      <c r="A157" s="35"/>
      <c r="B157" s="35"/>
      <c r="C157" s="66" t="e">
        <f>VLOOKUP(B156,Уч!$A$2:$L$26,5,FALSE)</f>
        <v>#N/A</v>
      </c>
      <c r="D157" s="109" t="e">
        <f>VLOOKUP(B156,Уч!$A$2:$L$26,4,FALSE)</f>
        <v>#N/A</v>
      </c>
      <c r="E157" s="33" t="s">
        <v>97</v>
      </c>
      <c r="F157" s="68"/>
      <c r="G157" s="69"/>
      <c r="H157" s="70"/>
      <c r="I157" s="69"/>
      <c r="J157" s="69"/>
      <c r="K157" s="69"/>
      <c r="L157" s="69"/>
      <c r="M157" s="69"/>
      <c r="N157" s="70"/>
      <c r="O157" s="70"/>
      <c r="P157" s="97"/>
      <c r="Q157" s="36"/>
      <c r="R157" s="63"/>
      <c r="S157" s="31" t="str">
        <f>$A156</f>
        <v>бм</v>
      </c>
      <c r="T157" s="31">
        <v>2</v>
      </c>
      <c r="U157" s="64"/>
      <c r="V157" s="64"/>
      <c r="W157" s="64"/>
      <c r="X157" s="64"/>
      <c r="Y157" s="64"/>
      <c r="Z157" s="64"/>
      <c r="AA157" s="64"/>
      <c r="AB157" s="64"/>
      <c r="AC157" s="64"/>
      <c r="AD157" s="64"/>
      <c r="AE157" s="31"/>
      <c r="AF157" s="65">
        <v>1</v>
      </c>
      <c r="AG157" s="36">
        <v>20</v>
      </c>
      <c r="AH157" s="36" t="s">
        <v>78</v>
      </c>
      <c r="AI157" s="35"/>
      <c r="AJ157" s="31"/>
      <c r="AK157" s="31"/>
      <c r="AL157" s="31"/>
      <c r="AM157" s="31"/>
    </row>
    <row r="158" spans="1:39" s="60" customFormat="1" ht="13.5" customHeight="1" x14ac:dyDescent="0.35">
      <c r="A158" s="35"/>
      <c r="B158" s="35"/>
      <c r="C158" s="67" t="e">
        <f>VLOOKUP(B156,Уч!$A$2:$L$26,7,FALSE)</f>
        <v>#N/A</v>
      </c>
      <c r="D158" s="109"/>
      <c r="E158" s="33" t="s">
        <v>77</v>
      </c>
      <c r="F158" s="72"/>
      <c r="G158" s="70"/>
      <c r="H158" s="70"/>
      <c r="I158" s="70"/>
      <c r="J158" s="70"/>
      <c r="K158" s="70"/>
      <c r="L158" s="70"/>
      <c r="M158" s="70"/>
      <c r="N158" s="70"/>
      <c r="O158" s="70"/>
      <c r="P158" s="97"/>
      <c r="Q158" s="36"/>
      <c r="R158" s="63"/>
      <c r="S158" s="31" t="str">
        <f>$A156</f>
        <v>бм</v>
      </c>
      <c r="T158" s="31">
        <v>3</v>
      </c>
      <c r="U158" s="64"/>
      <c r="V158" s="64"/>
      <c r="W158" s="64"/>
      <c r="X158" s="64"/>
      <c r="Y158" s="64"/>
      <c r="Z158" s="64"/>
      <c r="AA158" s="64"/>
      <c r="AB158" s="64"/>
      <c r="AC158" s="64"/>
      <c r="AD158" s="64"/>
      <c r="AE158" s="31"/>
      <c r="AF158" s="65">
        <v>2</v>
      </c>
      <c r="AG158" s="36">
        <v>17</v>
      </c>
      <c r="AH158" s="65" t="s">
        <v>62</v>
      </c>
      <c r="AI158" s="35">
        <v>15</v>
      </c>
      <c r="AJ158" s="31"/>
      <c r="AK158" s="31"/>
      <c r="AL158" s="31"/>
      <c r="AM158" s="31"/>
    </row>
    <row r="159" spans="1:39" s="60" customFormat="1" ht="13.5" customHeight="1" x14ac:dyDescent="0.35">
      <c r="A159" s="35"/>
      <c r="B159" s="35"/>
      <c r="C159" s="66" t="e">
        <f>VLOOKUP(B156,Уч!$A$2:$L$26,11,FALSE)</f>
        <v>#N/A</v>
      </c>
      <c r="D159" s="109"/>
      <c r="E159" s="33" t="s">
        <v>98</v>
      </c>
      <c r="F159" s="72"/>
      <c r="G159" s="70"/>
      <c r="H159" s="70"/>
      <c r="I159" s="70"/>
      <c r="J159" s="70"/>
      <c r="K159" s="70"/>
      <c r="L159" s="70"/>
      <c r="M159" s="70"/>
      <c r="N159" s="70"/>
      <c r="O159" s="70"/>
      <c r="P159" s="97"/>
      <c r="Q159" s="36"/>
      <c r="R159" s="63"/>
      <c r="S159" s="31" t="str">
        <f>$A156</f>
        <v>бм</v>
      </c>
      <c r="T159" s="31">
        <v>4</v>
      </c>
      <c r="U159" s="63">
        <f t="shared" ref="U159:AD159" si="29">F159</f>
        <v>0</v>
      </c>
      <c r="V159" s="63">
        <f t="shared" si="29"/>
        <v>0</v>
      </c>
      <c r="W159" s="63">
        <f t="shared" si="29"/>
        <v>0</v>
      </c>
      <c r="X159" s="63">
        <f t="shared" si="29"/>
        <v>0</v>
      </c>
      <c r="Y159" s="63">
        <f t="shared" si="29"/>
        <v>0</v>
      </c>
      <c r="Z159" s="63">
        <f t="shared" si="29"/>
        <v>0</v>
      </c>
      <c r="AA159" s="63">
        <f t="shared" si="29"/>
        <v>0</v>
      </c>
      <c r="AB159" s="63">
        <f t="shared" si="29"/>
        <v>0</v>
      </c>
      <c r="AC159" s="63">
        <f t="shared" si="29"/>
        <v>0</v>
      </c>
      <c r="AD159" s="63">
        <f t="shared" si="29"/>
        <v>0</v>
      </c>
      <c r="AE159" s="31"/>
      <c r="AF159" s="65">
        <v>3</v>
      </c>
      <c r="AG159" s="36">
        <v>15</v>
      </c>
      <c r="AH159" s="65" t="s">
        <v>60</v>
      </c>
      <c r="AI159" s="35">
        <v>5</v>
      </c>
      <c r="AJ159" s="31"/>
      <c r="AK159" s="31"/>
      <c r="AL159" s="31"/>
      <c r="AM159" s="31"/>
    </row>
    <row r="160" spans="1:39" s="60" customFormat="1" ht="13.5" customHeight="1" thickBot="1" x14ac:dyDescent="0.4">
      <c r="A160" s="73"/>
      <c r="B160" s="73"/>
      <c r="C160" s="74" t="e">
        <f>VLOOKUP(B156,Уч!$A$2:$L$26,12,FALSE)</f>
        <v>#N/A</v>
      </c>
      <c r="D160" s="110"/>
      <c r="E160" s="43" t="s">
        <v>37</v>
      </c>
      <c r="F160" s="75"/>
      <c r="G160" s="76"/>
      <c r="H160" s="76"/>
      <c r="I160" s="76"/>
      <c r="J160" s="76"/>
      <c r="K160" s="76"/>
      <c r="L160" s="76"/>
      <c r="M160" s="76"/>
      <c r="N160" s="76"/>
      <c r="O160" s="76"/>
      <c r="P160" s="98"/>
      <c r="Q160" s="50"/>
      <c r="R160" s="77"/>
      <c r="S160" s="31" t="str">
        <f>$A156</f>
        <v>бм</v>
      </c>
      <c r="T160" s="31">
        <v>5</v>
      </c>
      <c r="U160" s="64"/>
      <c r="V160" s="64"/>
      <c r="W160" s="64"/>
      <c r="X160" s="64"/>
      <c r="Y160" s="64"/>
      <c r="Z160" s="64"/>
      <c r="AA160" s="64"/>
      <c r="AB160" s="64"/>
      <c r="AC160" s="64"/>
      <c r="AD160" s="64"/>
      <c r="AE160" s="31"/>
      <c r="AF160" s="65">
        <v>4</v>
      </c>
      <c r="AG160" s="36">
        <v>14</v>
      </c>
      <c r="AI160" s="35"/>
      <c r="AJ160" s="31"/>
      <c r="AK160" s="31"/>
      <c r="AL160" s="31"/>
      <c r="AM160" s="31"/>
    </row>
    <row r="161" spans="1:39" s="60" customFormat="1" ht="13.5" customHeight="1" thickTop="1" x14ac:dyDescent="0.35">
      <c r="A161" s="35"/>
      <c r="B161" s="35"/>
      <c r="C161" s="66"/>
      <c r="D161" s="71"/>
      <c r="E161" s="33"/>
      <c r="F161" s="70"/>
      <c r="G161" s="70"/>
      <c r="H161" s="70"/>
      <c r="I161" s="103"/>
      <c r="J161" s="103"/>
      <c r="K161" s="103"/>
      <c r="L161" s="103"/>
      <c r="M161" s="103"/>
      <c r="N161" s="103"/>
      <c r="O161" s="103"/>
      <c r="P161" s="63"/>
      <c r="Q161" s="36"/>
      <c r="R161" s="63"/>
      <c r="S161" s="31"/>
      <c r="T161" s="31"/>
      <c r="U161" s="64"/>
      <c r="V161" s="64"/>
      <c r="W161" s="64"/>
      <c r="X161" s="64"/>
      <c r="Y161" s="64"/>
      <c r="Z161" s="64"/>
      <c r="AA161" s="64"/>
      <c r="AB161" s="64"/>
      <c r="AC161" s="64"/>
      <c r="AD161" s="64"/>
      <c r="AE161" s="31"/>
      <c r="AF161" s="65"/>
      <c r="AG161" s="36"/>
      <c r="AI161" s="35"/>
      <c r="AJ161" s="31"/>
      <c r="AK161" s="31"/>
      <c r="AL161" s="31"/>
      <c r="AM161" s="31"/>
    </row>
    <row r="162" spans="1:39" s="60" customFormat="1" ht="13.5" customHeight="1" x14ac:dyDescent="0.35">
      <c r="B162" s="35"/>
      <c r="C162" s="60" t="s">
        <v>87</v>
      </c>
      <c r="D162" s="36"/>
      <c r="G162" s="35"/>
      <c r="H162" s="35"/>
      <c r="J162" s="36"/>
      <c r="K162" s="35" t="s">
        <v>108</v>
      </c>
      <c r="L162" s="35"/>
      <c r="M162" s="35"/>
      <c r="N162" s="35"/>
      <c r="O162" s="35"/>
      <c r="P162" s="80"/>
      <c r="Q162" s="80"/>
      <c r="R162" s="80"/>
      <c r="S162" s="80"/>
      <c r="T162" s="80"/>
      <c r="U162" s="78"/>
      <c r="V162" s="78"/>
      <c r="W162" s="78"/>
      <c r="X162" s="78"/>
      <c r="Y162" s="78"/>
      <c r="Z162" s="78"/>
      <c r="AA162" s="78"/>
      <c r="AB162" s="79"/>
      <c r="AC162" s="79"/>
      <c r="AD162" s="79"/>
      <c r="AF162" s="35"/>
      <c r="AG162" s="35"/>
      <c r="AI162" s="35"/>
    </row>
    <row r="163" spans="1:39" s="60" customFormat="1" ht="13.5" customHeight="1" x14ac:dyDescent="0.35">
      <c r="B163" s="35"/>
      <c r="D163" s="36"/>
      <c r="G163" s="35"/>
      <c r="H163" s="35"/>
      <c r="K163" s="35"/>
      <c r="L163" s="35"/>
      <c r="M163" s="35"/>
      <c r="N163" s="35"/>
      <c r="O163" s="35"/>
      <c r="P163" s="80"/>
      <c r="Q163" s="80"/>
      <c r="R163" s="80"/>
      <c r="S163" s="80"/>
      <c r="T163" s="80"/>
      <c r="U163" s="78"/>
      <c r="V163" s="78"/>
      <c r="W163" s="78"/>
      <c r="X163" s="78"/>
      <c r="Y163" s="78"/>
      <c r="Z163" s="78"/>
      <c r="AA163" s="78"/>
      <c r="AB163" s="79"/>
      <c r="AC163" s="79"/>
      <c r="AD163" s="79"/>
      <c r="AF163" s="35"/>
      <c r="AG163" s="35"/>
      <c r="AI163" s="35"/>
    </row>
    <row r="164" spans="1:39" s="60" customFormat="1" ht="13.5" customHeight="1" x14ac:dyDescent="0.35">
      <c r="B164" s="35"/>
      <c r="C164" s="60" t="s">
        <v>88</v>
      </c>
      <c r="D164" s="36"/>
      <c r="G164" s="35"/>
      <c r="H164" s="35"/>
      <c r="K164" s="35" t="s">
        <v>109</v>
      </c>
      <c r="L164" s="35"/>
      <c r="M164" s="35"/>
      <c r="N164" s="35"/>
      <c r="O164" s="35"/>
      <c r="P164" s="80"/>
      <c r="Q164" s="80"/>
      <c r="R164" s="80"/>
      <c r="S164" s="80"/>
      <c r="T164" s="80"/>
      <c r="U164" s="78"/>
      <c r="V164" s="78"/>
      <c r="W164" s="78"/>
      <c r="X164" s="78"/>
      <c r="Y164" s="78"/>
      <c r="Z164" s="78"/>
      <c r="AA164" s="78"/>
      <c r="AB164" s="79"/>
      <c r="AC164" s="79"/>
      <c r="AD164" s="79"/>
      <c r="AF164" s="35"/>
      <c r="AG164" s="35"/>
      <c r="AI164" s="35"/>
    </row>
  </sheetData>
  <printOptions horizontalCentered="1"/>
  <pageMargins left="0.39370078740157483" right="0.39370078740157483" top="0.39370078740157483" bottom="0.39370078740157483" header="0.59055118110236227" footer="0.39370078740157483"/>
  <pageSetup paperSize="9" scale="71" orientation="portrait" verticalDpi="300" r:id="rId1"/>
  <headerFooter alignWithMargins="0">
    <oddFooter>&amp;Lrybakov@rusathletics.com</oddFooter>
  </headerFooter>
  <rowBreaks count="2" manualBreakCount="2">
    <brk id="75" max="17" man="1"/>
    <brk id="160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M159"/>
  <sheetViews>
    <sheetView view="pageBreakPreview" topLeftCell="A46" zoomScale="85" zoomScaleNormal="85" zoomScaleSheetLayoutView="85" workbookViewId="0">
      <selection activeCell="M25" sqref="M25"/>
    </sheetView>
  </sheetViews>
  <sheetFormatPr defaultColWidth="9.109375" defaultRowHeight="13.2" outlineLevelCol="1" x14ac:dyDescent="0.25"/>
  <cols>
    <col min="1" max="1" width="6" style="7" customWidth="1"/>
    <col min="2" max="2" width="4" style="6" customWidth="1"/>
    <col min="3" max="3" width="23.88671875" style="7" customWidth="1"/>
    <col min="4" max="4" width="8.44140625" style="32" customWidth="1"/>
    <col min="5" max="5" width="3.109375" style="7" bestFit="1" customWidth="1"/>
    <col min="6" max="6" width="7" style="7" customWidth="1"/>
    <col min="7" max="7" width="7.109375" style="6" customWidth="1"/>
    <col min="8" max="8" width="5.6640625" style="6" bestFit="1" customWidth="1"/>
    <col min="9" max="9" width="7.33203125" style="7" bestFit="1" customWidth="1"/>
    <col min="10" max="10" width="6.5546875" style="7" customWidth="1"/>
    <col min="11" max="11" width="9" style="6" customWidth="1"/>
    <col min="12" max="12" width="7" style="6" customWidth="1"/>
    <col min="13" max="13" width="5.44140625" style="6" customWidth="1"/>
    <col min="14" max="14" width="6" style="6" customWidth="1" outlineLevel="1"/>
    <col min="15" max="15" width="7.109375" style="6" customWidth="1" outlineLevel="1"/>
    <col min="16" max="16" width="5.6640625" style="18" customWidth="1"/>
    <col min="17" max="18" width="7.44140625" style="18" customWidth="1"/>
    <col min="19" max="19" width="4.109375" style="18" customWidth="1"/>
    <col min="20" max="20" width="2" style="18" bestFit="1" customWidth="1"/>
    <col min="21" max="21" width="8" style="7" customWidth="1" outlineLevel="1"/>
    <col min="22" max="22" width="7.44140625" style="7" customWidth="1" outlineLevel="1"/>
    <col min="23" max="23" width="5.6640625" style="7" customWidth="1" outlineLevel="1"/>
    <col min="24" max="24" width="8" style="7" customWidth="1" outlineLevel="1"/>
    <col min="25" max="25" width="5.6640625" style="7" customWidth="1" outlineLevel="1"/>
    <col min="26" max="26" width="6" style="7" customWidth="1" outlineLevel="1"/>
    <col min="27" max="27" width="5" style="7" customWidth="1" outlineLevel="1"/>
    <col min="28" max="28" width="6" style="7" customWidth="1" outlineLevel="1"/>
    <col min="29" max="29" width="6.88671875" style="7" customWidth="1" outlineLevel="1"/>
    <col min="30" max="30" width="5.109375" style="7" customWidth="1" outlineLevel="1"/>
    <col min="31" max="31" width="9.109375" style="7"/>
    <col min="32" max="32" width="4.5546875" style="6" bestFit="1" customWidth="1"/>
    <col min="33" max="33" width="7" style="6" bestFit="1" customWidth="1"/>
    <col min="34" max="34" width="6.5546875" style="7" bestFit="1" customWidth="1"/>
    <col min="35" max="35" width="6.5546875" style="6" bestFit="1" customWidth="1"/>
    <col min="36" max="16384" width="9.109375" style="7"/>
  </cols>
  <sheetData>
    <row r="1" spans="1:39" x14ac:dyDescent="0.25">
      <c r="A1" s="15" t="str">
        <f>Расп!$A$21</f>
        <v>МИНИСТЕРСТВО СПОРТА РОССИЙСКОЙ ФЕДЕРАЦИИ</v>
      </c>
      <c r="U1" s="16"/>
      <c r="V1" s="20">
        <v>0</v>
      </c>
      <c r="W1" s="52" t="s">
        <v>66</v>
      </c>
      <c r="X1" s="20"/>
      <c r="Y1" s="20"/>
      <c r="Z1" s="20"/>
      <c r="AA1" s="20"/>
      <c r="AB1" s="55"/>
      <c r="AC1" s="55"/>
      <c r="AD1" s="55"/>
      <c r="AF1" s="7"/>
      <c r="AG1" s="7"/>
      <c r="AI1" s="7"/>
    </row>
    <row r="2" spans="1:39" x14ac:dyDescent="0.25">
      <c r="A2" s="15" t="str">
        <f>Расп!$A$22</f>
        <v>ВСЕРОССИЙСКАЯ ФЕДЕРАЦИЯ ЛЕГКОЙ АТЛЕТИКИ</v>
      </c>
      <c r="U2" s="16"/>
      <c r="V2" s="20">
        <v>3800</v>
      </c>
      <c r="W2" s="52">
        <v>3</v>
      </c>
      <c r="X2" s="20"/>
      <c r="Y2" s="53"/>
      <c r="Z2" s="20"/>
      <c r="AA2" s="20"/>
      <c r="AB2" s="55"/>
      <c r="AC2" s="55"/>
      <c r="AD2" s="55"/>
      <c r="AF2" s="7"/>
      <c r="AG2" s="7"/>
      <c r="AI2" s="7"/>
    </row>
    <row r="3" spans="1:39" x14ac:dyDescent="0.25">
      <c r="A3" s="15" t="str">
        <f>Расп!$A$23</f>
        <v xml:space="preserve"> </v>
      </c>
      <c r="U3" s="16"/>
      <c r="V3" s="20">
        <v>4600</v>
      </c>
      <c r="W3" s="52">
        <v>2</v>
      </c>
      <c r="X3" s="20"/>
      <c r="Y3" s="53"/>
      <c r="Z3" s="20"/>
      <c r="AA3" s="20"/>
      <c r="AB3" s="55"/>
      <c r="AC3" s="55"/>
      <c r="AD3" s="55"/>
      <c r="AF3" s="7"/>
      <c r="AG3" s="7"/>
      <c r="AI3" s="7"/>
    </row>
    <row r="4" spans="1:39" x14ac:dyDescent="0.25">
      <c r="A4" s="6"/>
      <c r="U4" s="16"/>
      <c r="V4" s="20">
        <v>5500</v>
      </c>
      <c r="W4" s="52">
        <v>1</v>
      </c>
      <c r="X4" s="20"/>
      <c r="Y4" s="20"/>
      <c r="Z4" s="20"/>
      <c r="AA4" s="20"/>
      <c r="AB4" s="55"/>
      <c r="AC4" s="55"/>
      <c r="AD4" s="55"/>
      <c r="AF4" s="7"/>
      <c r="AG4" s="7"/>
      <c r="AI4" s="7"/>
    </row>
    <row r="5" spans="1:39" ht="15.6" x14ac:dyDescent="0.3">
      <c r="A5" s="8" t="str">
        <f>Расп!$A$25</f>
        <v>Командный чемпионат России</v>
      </c>
      <c r="C5" s="6"/>
      <c r="U5" s="16"/>
      <c r="V5" s="20">
        <v>6200</v>
      </c>
      <c r="W5" s="52" t="s">
        <v>61</v>
      </c>
      <c r="X5" s="20"/>
      <c r="Y5" s="20"/>
      <c r="Z5" s="20"/>
      <c r="AA5" s="20"/>
      <c r="AB5" s="55"/>
      <c r="AC5" s="55"/>
      <c r="AD5" s="55"/>
      <c r="AF5" s="7"/>
      <c r="AG5" s="7"/>
      <c r="AI5" s="7"/>
    </row>
    <row r="6" spans="1:39" x14ac:dyDescent="0.25">
      <c r="A6" s="9" t="str">
        <f>Расп!$A$26</f>
        <v>г.Сочи, Адлерский район, стадион "Юность"</v>
      </c>
      <c r="C6" s="6"/>
      <c r="F6" s="9" t="str">
        <f>Расп!$A$1</f>
        <v>04.09.2019 г.</v>
      </c>
      <c r="K6" s="9" t="str">
        <f>Расп!$A$7</f>
        <v>19.05.2019 г.</v>
      </c>
      <c r="L6" s="9"/>
      <c r="M6" s="9"/>
      <c r="O6" s="32" t="str">
        <f>Расп!C13</f>
        <v>До 23 лет</v>
      </c>
      <c r="P6" s="7"/>
      <c r="U6" s="16"/>
      <c r="V6" s="20">
        <v>7000</v>
      </c>
      <c r="W6" s="52" t="s">
        <v>60</v>
      </c>
      <c r="X6" s="20"/>
      <c r="Y6" s="20"/>
      <c r="Z6" s="20"/>
      <c r="AA6" s="20"/>
      <c r="AB6" s="55"/>
      <c r="AC6" s="55"/>
      <c r="AD6" s="55"/>
      <c r="AF6" s="7"/>
      <c r="AG6" s="7"/>
      <c r="AI6" s="7"/>
    </row>
    <row r="7" spans="1:39" x14ac:dyDescent="0.25">
      <c r="C7" s="6"/>
      <c r="E7" s="10"/>
      <c r="F7" s="45" t="str">
        <f>Расп!A2</f>
        <v>бег 100 м</v>
      </c>
      <c r="G7" s="51">
        <f>Расп!B2</f>
        <v>0.39583333333333331</v>
      </c>
      <c r="K7" s="45" t="str">
        <f>Расп!A8</f>
        <v>бег с барьерами 110 м (1,067 м)</v>
      </c>
      <c r="L7" s="51">
        <f>Расп!B8</f>
        <v>0.41666666666666669</v>
      </c>
      <c r="M7" s="7"/>
      <c r="N7" s="45" t="str">
        <f>Расп!$A$14</f>
        <v>РМ</v>
      </c>
      <c r="O7" s="6">
        <f>Расп!C14</f>
        <v>8617</v>
      </c>
      <c r="P7" s="7"/>
      <c r="R7" s="6"/>
      <c r="S7" s="6"/>
      <c r="U7" s="16"/>
      <c r="V7" s="20">
        <v>8100</v>
      </c>
      <c r="W7" s="52" t="s">
        <v>62</v>
      </c>
      <c r="X7" s="20"/>
      <c r="Y7" s="20"/>
      <c r="Z7" s="20"/>
      <c r="AA7" s="20"/>
      <c r="AB7" s="55"/>
      <c r="AC7" s="55"/>
      <c r="AD7" s="55"/>
      <c r="AF7" s="7"/>
      <c r="AG7" s="7"/>
      <c r="AI7" s="7"/>
    </row>
    <row r="8" spans="1:39" ht="15.6" x14ac:dyDescent="0.3">
      <c r="B8" s="7"/>
      <c r="C8" s="8" t="str">
        <f>Расп!$A$27</f>
        <v>по многоборью</v>
      </c>
      <c r="E8" s="10"/>
      <c r="F8" s="45" t="str">
        <f>Расп!A3</f>
        <v>прыжок в длину</v>
      </c>
      <c r="G8" s="51">
        <f>Расп!B3</f>
        <v>0.42708333333333331</v>
      </c>
      <c r="H8" s="22"/>
      <c r="I8" s="10"/>
      <c r="J8" s="10"/>
      <c r="K8" s="45" t="str">
        <f>Расп!A9</f>
        <v>метание диска (2,0 кг)</v>
      </c>
      <c r="L8" s="51">
        <f>Расп!B9</f>
        <v>0.4513888888888889</v>
      </c>
      <c r="M8" s="7"/>
      <c r="N8" s="45" t="str">
        <f>Расп!$A$15</f>
        <v>РЕ</v>
      </c>
      <c r="O8" s="6">
        <f>Расп!C15</f>
        <v>8617</v>
      </c>
      <c r="P8" s="7"/>
      <c r="R8" s="6"/>
      <c r="S8" s="6"/>
      <c r="U8" s="17" t="s">
        <v>22</v>
      </c>
      <c r="V8" s="20"/>
      <c r="W8" s="20"/>
      <c r="X8" s="20"/>
      <c r="Y8" s="20"/>
      <c r="Z8" s="20"/>
      <c r="AA8" s="20"/>
      <c r="AB8" s="55"/>
      <c r="AC8" s="55"/>
      <c r="AD8" s="55"/>
      <c r="AF8" s="7"/>
      <c r="AG8" s="7"/>
      <c r="AI8" s="7"/>
    </row>
    <row r="9" spans="1:39" ht="15.6" x14ac:dyDescent="0.3">
      <c r="B9" s="8"/>
      <c r="C9" s="44" t="s">
        <v>117</v>
      </c>
      <c r="F9" s="45" t="str">
        <f>Расп!A4</f>
        <v>толкание ядра (7,26 кг)</v>
      </c>
      <c r="G9" s="51">
        <f>Расп!B4</f>
        <v>0.46875</v>
      </c>
      <c r="K9" s="45" t="str">
        <f>Расп!A10</f>
        <v>прыжок с шестом</v>
      </c>
      <c r="L9" s="51">
        <f>Расп!B10</f>
        <v>0.52777777777777779</v>
      </c>
      <c r="M9" s="7"/>
      <c r="N9" s="45" t="str">
        <f>Расп!$A$16</f>
        <v>РР</v>
      </c>
      <c r="O9" s="6">
        <f>Расп!C16</f>
        <v>8365</v>
      </c>
      <c r="P9" s="7"/>
      <c r="R9" s="6"/>
      <c r="S9" s="6"/>
      <c r="U9" s="17" t="s">
        <v>23</v>
      </c>
      <c r="V9" s="20"/>
      <c r="W9" s="20"/>
      <c r="X9" s="20"/>
      <c r="Y9" s="20"/>
      <c r="Z9" s="20"/>
      <c r="AA9" s="20"/>
      <c r="AB9" s="55"/>
      <c r="AC9" s="55"/>
      <c r="AD9" s="55"/>
      <c r="AF9" s="7"/>
      <c r="AG9" s="7"/>
      <c r="AI9" s="7"/>
    </row>
    <row r="10" spans="1:39" ht="15.6" x14ac:dyDescent="0.3">
      <c r="C10" s="44"/>
      <c r="F10" s="45" t="str">
        <f>Расп!A5</f>
        <v>прыжок в высоту</v>
      </c>
      <c r="G10" s="51">
        <f>Расп!B5</f>
        <v>0.625</v>
      </c>
      <c r="H10" s="11"/>
      <c r="K10" s="45" t="str">
        <f>Расп!A11</f>
        <v>метание копья (800 г)</v>
      </c>
      <c r="L10" s="51">
        <f>Расп!B11</f>
        <v>0.625</v>
      </c>
      <c r="M10" s="7"/>
      <c r="O10" s="14"/>
      <c r="U10" s="17" t="s">
        <v>24</v>
      </c>
      <c r="V10" s="20"/>
      <c r="W10" s="20"/>
      <c r="X10" s="20"/>
      <c r="Y10" s="20"/>
      <c r="Z10" s="20"/>
      <c r="AA10" s="20"/>
      <c r="AB10" s="55"/>
      <c r="AC10" s="55"/>
      <c r="AD10" s="55"/>
      <c r="AF10" s="7"/>
      <c r="AG10" s="7"/>
      <c r="AI10" s="7"/>
    </row>
    <row r="11" spans="1:39" ht="15.6" x14ac:dyDescent="0.3">
      <c r="C11" s="111" t="s">
        <v>11</v>
      </c>
      <c r="F11" s="45" t="str">
        <f>Расп!A6</f>
        <v>бег 400 м</v>
      </c>
      <c r="G11" s="51">
        <f>Расп!B6</f>
        <v>0.72916666666666663</v>
      </c>
      <c r="H11" s="11"/>
      <c r="K11" s="45" t="str">
        <f>Расп!A12</f>
        <v>бег 1500 м</v>
      </c>
      <c r="L11" s="51">
        <f>Расп!B12</f>
        <v>0.76388888888888884</v>
      </c>
      <c r="M11" s="7"/>
      <c r="O11" s="14"/>
      <c r="U11" s="17"/>
      <c r="V11" s="20"/>
      <c r="W11" s="20"/>
      <c r="X11" s="20"/>
      <c r="Y11" s="20"/>
      <c r="Z11" s="20"/>
      <c r="AA11" s="20"/>
      <c r="AB11" s="55"/>
      <c r="AC11" s="55"/>
      <c r="AD11" s="55"/>
      <c r="AF11" s="7"/>
      <c r="AG11" s="7"/>
      <c r="AI11" s="7"/>
    </row>
    <row r="12" spans="1:39" ht="18" customHeight="1" x14ac:dyDescent="0.3">
      <c r="C12" s="8" t="s">
        <v>104</v>
      </c>
      <c r="U12" s="57"/>
      <c r="V12" s="20"/>
      <c r="W12" s="20"/>
      <c r="X12" s="20"/>
      <c r="Y12" s="20"/>
      <c r="Z12" s="20"/>
      <c r="AA12" s="20"/>
      <c r="AB12" s="55"/>
      <c r="AC12" s="55"/>
      <c r="AD12" s="55"/>
      <c r="AF12" s="7"/>
      <c r="AG12" s="7"/>
      <c r="AI12" s="7"/>
    </row>
    <row r="13" spans="1:39" s="95" customFormat="1" ht="12.6" thickBot="1" x14ac:dyDescent="0.3">
      <c r="A13" s="89" t="s">
        <v>37</v>
      </c>
      <c r="B13" s="89" t="s">
        <v>20</v>
      </c>
      <c r="C13" s="89" t="s">
        <v>16</v>
      </c>
      <c r="D13" s="89" t="s">
        <v>85</v>
      </c>
      <c r="E13" s="90"/>
      <c r="F13" s="89" t="s">
        <v>71</v>
      </c>
      <c r="G13" s="89" t="s">
        <v>26</v>
      </c>
      <c r="H13" s="89" t="s">
        <v>27</v>
      </c>
      <c r="I13" s="89" t="s">
        <v>17</v>
      </c>
      <c r="J13" s="89" t="s">
        <v>72</v>
      </c>
      <c r="K13" s="89" t="s">
        <v>73</v>
      </c>
      <c r="L13" s="89" t="s">
        <v>69</v>
      </c>
      <c r="M13" s="89" t="s">
        <v>70</v>
      </c>
      <c r="N13" s="89" t="s">
        <v>18</v>
      </c>
      <c r="O13" s="89" t="s">
        <v>74</v>
      </c>
      <c r="P13" s="91" t="s">
        <v>29</v>
      </c>
      <c r="Q13" s="91" t="s">
        <v>1</v>
      </c>
      <c r="R13" s="91" t="s">
        <v>65</v>
      </c>
      <c r="S13" s="92"/>
      <c r="T13" s="92"/>
      <c r="U13" s="93">
        <v>100</v>
      </c>
      <c r="V13" s="93" t="s">
        <v>26</v>
      </c>
      <c r="W13" s="93" t="s">
        <v>27</v>
      </c>
      <c r="X13" s="93" t="s">
        <v>17</v>
      </c>
      <c r="Y13" s="93">
        <v>400</v>
      </c>
      <c r="Z13" s="93" t="s">
        <v>75</v>
      </c>
      <c r="AA13" s="93" t="s">
        <v>69</v>
      </c>
      <c r="AB13" s="94" t="s">
        <v>70</v>
      </c>
      <c r="AC13" s="94" t="s">
        <v>18</v>
      </c>
      <c r="AD13" s="94">
        <v>1500</v>
      </c>
    </row>
    <row r="14" spans="1:39" s="11" customFormat="1" ht="6" customHeight="1" thickTop="1" x14ac:dyDescent="0.25">
      <c r="D14" s="44"/>
      <c r="P14" s="19"/>
      <c r="Q14" s="19"/>
      <c r="R14" s="19"/>
      <c r="S14" s="19"/>
      <c r="T14" s="19"/>
      <c r="U14" s="58"/>
      <c r="V14" s="21"/>
      <c r="W14" s="21"/>
      <c r="X14" s="21"/>
      <c r="Y14" s="21"/>
      <c r="Z14" s="21"/>
      <c r="AA14" s="21"/>
      <c r="AB14" s="56"/>
      <c r="AC14" s="56"/>
      <c r="AD14" s="56"/>
    </row>
    <row r="15" spans="1:39" s="11" customFormat="1" ht="6" customHeight="1" thickBot="1" x14ac:dyDescent="0.3">
      <c r="A15" s="42"/>
      <c r="B15" s="42"/>
      <c r="C15" s="42"/>
      <c r="D15" s="48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9"/>
      <c r="Q15" s="49"/>
      <c r="R15" s="49"/>
      <c r="S15" s="19"/>
      <c r="T15" s="19"/>
      <c r="U15" s="17"/>
      <c r="V15" s="21"/>
      <c r="W15" s="21"/>
      <c r="X15" s="21"/>
      <c r="Y15" s="21"/>
      <c r="Z15" s="21"/>
      <c r="AA15" s="21"/>
      <c r="AB15" s="56"/>
      <c r="AC15" s="56"/>
      <c r="AD15" s="56"/>
    </row>
    <row r="16" spans="1:39" s="31" customFormat="1" ht="13.5" customHeight="1" thickTop="1" x14ac:dyDescent="0.35">
      <c r="A16" s="35" t="e">
        <f>RANK(P16,$P$16:$P$160,0)</f>
        <v>#N/A</v>
      </c>
      <c r="B16" s="35">
        <v>34</v>
      </c>
      <c r="C16" s="60" t="e">
        <f>VLOOKUP(B16,Уч!$A$2:$L$26,2,FALSE)</f>
        <v>#N/A</v>
      </c>
      <c r="D16" s="107" t="e">
        <f>VLOOKUP(B16,Уч!$A$2:$L$26,3,FALSE)</f>
        <v>#N/A</v>
      </c>
      <c r="E16" s="33" t="s">
        <v>28</v>
      </c>
      <c r="F16" s="61" t="e">
        <f>VLOOKUP($B16,'100 м 1'!$C$18:$I$86,5,FALSE)</f>
        <v>#N/A</v>
      </c>
      <c r="G16" s="62" t="e">
        <f>VLOOKUP($B16,'длина 2 '!$C$16:$O$54,11,FALSE)</f>
        <v>#N/A</v>
      </c>
      <c r="H16" s="62" t="e">
        <f>VLOOKUP($B16,'ядро 2'!$C$16:$K$60,8,FALSE)</f>
        <v>#N/A</v>
      </c>
      <c r="I16" s="62" t="e">
        <f>VLOOKUP($B16,'высота 2'!$C$16:$AF$57,13,FALSE)</f>
        <v>#N/A</v>
      </c>
      <c r="J16" s="62" t="e">
        <f>VLOOKUP($B16,'4_р'!$C$17:$H$73,5,FALSE)</f>
        <v>#N/A</v>
      </c>
      <c r="K16" s="62" t="e">
        <f>VLOOKUP($B16,'1cб_р'!$C$17:$I$63,5,FALSE)</f>
        <v>#N/A</v>
      </c>
      <c r="L16" s="62" t="e">
        <f>VLOOKUP($B16,Дс_р!$C$16:$K$70,8,FALSE)</f>
        <v>#N/A</v>
      </c>
      <c r="M16" s="62" t="e">
        <f>VLOOKUP($B16,Ш_р!$C$15:$AF$69,17,FALSE)</f>
        <v>#N/A</v>
      </c>
      <c r="N16" s="62" t="e">
        <f>VLOOKUP($B16,К_р!$C$15:$K$68,8,FALSE)</f>
        <v>#N/A</v>
      </c>
      <c r="O16" s="70" t="e">
        <f>VLOOKUP($B16,'15_р'!$C$17:$H$86,5,FALSE)</f>
        <v>#N/A</v>
      </c>
      <c r="P16" s="97" t="e">
        <f>SUM(F18:O18)</f>
        <v>#N/A</v>
      </c>
      <c r="Q16" s="35" t="e">
        <f>LOOKUP(P16,$V$1:$V$7,$W$1:$W$7)</f>
        <v>#N/A</v>
      </c>
      <c r="R16" s="35"/>
      <c r="S16" s="31" t="e">
        <f>$A16</f>
        <v>#N/A</v>
      </c>
      <c r="T16" s="31">
        <v>1</v>
      </c>
      <c r="U16" s="83"/>
      <c r="V16" s="78"/>
      <c r="W16" s="78"/>
      <c r="X16" s="78"/>
      <c r="Y16" s="78"/>
      <c r="Z16" s="78"/>
      <c r="AA16" s="78"/>
      <c r="AB16" s="79"/>
      <c r="AC16" s="79"/>
      <c r="AD16" s="79"/>
      <c r="AE16" s="60"/>
      <c r="AF16" s="35"/>
      <c r="AG16" s="35"/>
      <c r="AH16" s="60"/>
      <c r="AI16" s="35"/>
      <c r="AJ16" s="60"/>
      <c r="AK16" s="60"/>
      <c r="AL16" s="60"/>
      <c r="AM16" s="60"/>
    </row>
    <row r="17" spans="1:39" s="31" customFormat="1" ht="13.5" customHeight="1" x14ac:dyDescent="0.35">
      <c r="A17" s="35"/>
      <c r="B17" s="35"/>
      <c r="C17" s="66" t="e">
        <f>VLOOKUP(B16,Уч!$A$2:$L$26,5,FALSE)</f>
        <v>#N/A</v>
      </c>
      <c r="D17" s="107" t="e">
        <f>VLOOKUP(B16,Уч!$A$2:$L$26,4,FALSE)</f>
        <v>#N/A</v>
      </c>
      <c r="E17" s="33" t="s">
        <v>97</v>
      </c>
      <c r="F17" s="68" t="e">
        <f>VLOOKUP($B16,'100 м 1'!$C$18:$I$86,6,FALSE)</f>
        <v>#N/A</v>
      </c>
      <c r="G17" s="69" t="e">
        <f>VLOOKUP($B16,'длина 2 '!$C$16:$O$54,12,FALSE)</f>
        <v>#N/A</v>
      </c>
      <c r="H17" s="70"/>
      <c r="I17" s="69"/>
      <c r="J17" s="69"/>
      <c r="K17" s="69" t="e">
        <f>VLOOKUP($B16,'1cб_р'!$C$17:$I$63,6,FALSE)</f>
        <v>#N/A</v>
      </c>
      <c r="L17" s="69"/>
      <c r="M17" s="69"/>
      <c r="N17" s="70"/>
      <c r="O17" s="70"/>
      <c r="P17" s="97"/>
      <c r="Q17" s="80"/>
      <c r="R17" s="63"/>
      <c r="S17" s="31" t="e">
        <f>$A16</f>
        <v>#N/A</v>
      </c>
      <c r="T17" s="31">
        <v>2</v>
      </c>
      <c r="U17" s="83"/>
      <c r="V17" s="78"/>
      <c r="W17" s="78"/>
      <c r="X17" s="78"/>
      <c r="Y17" s="78"/>
      <c r="Z17" s="78"/>
      <c r="AA17" s="78"/>
      <c r="AB17" s="79"/>
      <c r="AC17" s="79"/>
      <c r="AD17" s="79"/>
      <c r="AE17" s="60"/>
      <c r="AF17" s="35"/>
      <c r="AG17" s="35"/>
      <c r="AH17" s="60"/>
      <c r="AI17" s="35"/>
      <c r="AJ17" s="60"/>
      <c r="AK17" s="60"/>
      <c r="AL17" s="60"/>
      <c r="AM17" s="60"/>
    </row>
    <row r="18" spans="1:39" s="31" customFormat="1" ht="13.5" customHeight="1" x14ac:dyDescent="0.35">
      <c r="A18" s="35"/>
      <c r="B18" s="35"/>
      <c r="C18" s="67" t="e">
        <f>VLOOKUP(B16,Уч!$A$2:$L$26,7)</f>
        <v>#N/A</v>
      </c>
      <c r="D18" s="107"/>
      <c r="E18" s="33" t="s">
        <v>77</v>
      </c>
      <c r="F18" s="72" t="e">
        <f>VLOOKUP($B16,'100 м 1'!$C$18:$I$86,7,FALSE)</f>
        <v>#N/A</v>
      </c>
      <c r="G18" s="70" t="e">
        <f>VLOOKUP($B16,'длина 2 '!$C$16:$O$54,13,FALSE)</f>
        <v>#N/A</v>
      </c>
      <c r="H18" s="70" t="e">
        <f>VLOOKUP($B16,'ядро 2'!$C$16:$K$60,9,FALSE)</f>
        <v>#N/A</v>
      </c>
      <c r="I18" s="70" t="e">
        <f>VLOOKUP($B16,'высота 2'!$C$16:$AF$57,14,FALSE)</f>
        <v>#N/A</v>
      </c>
      <c r="J18" s="70" t="e">
        <f>VLOOKUP($B16,'4_р'!$C$17:$H$73,6,FALSE)</f>
        <v>#N/A</v>
      </c>
      <c r="K18" s="70" t="e">
        <f>VLOOKUP($B16,'1cб_р'!$C$17:$I$63,7,FALSE)</f>
        <v>#N/A</v>
      </c>
      <c r="L18" s="70" t="e">
        <f>VLOOKUP($B16,Дс_р!$C$16:$K$70,9,FALSE)</f>
        <v>#N/A</v>
      </c>
      <c r="M18" s="70" t="e">
        <f>VLOOKUP($B16,Ш_р!$C$15:$AF$69,18,FALSE)</f>
        <v>#N/A</v>
      </c>
      <c r="N18" s="70" t="e">
        <f>VLOOKUP($B16,К_р!$C$15:$K$68,9,FALSE)</f>
        <v>#N/A</v>
      </c>
      <c r="O18" s="70" t="e">
        <f>VLOOKUP($B16,'15_р'!$C$17:$H$86,6,FALSE)</f>
        <v>#N/A</v>
      </c>
      <c r="P18" s="97"/>
      <c r="Q18" s="80"/>
      <c r="R18" s="63"/>
      <c r="S18" s="31" t="e">
        <f>$A16</f>
        <v>#N/A</v>
      </c>
      <c r="T18" s="31">
        <v>3</v>
      </c>
      <c r="U18" s="83"/>
      <c r="V18" s="78"/>
      <c r="W18" s="78"/>
      <c r="X18" s="78"/>
      <c r="Y18" s="78"/>
      <c r="Z18" s="78"/>
      <c r="AA18" s="78"/>
      <c r="AB18" s="79"/>
      <c r="AC18" s="79"/>
      <c r="AD18" s="79"/>
      <c r="AE18" s="60"/>
      <c r="AF18" s="35"/>
      <c r="AG18" s="35"/>
      <c r="AH18" s="60"/>
      <c r="AI18" s="35"/>
      <c r="AJ18" s="60"/>
      <c r="AK18" s="60"/>
      <c r="AL18" s="60"/>
      <c r="AM18" s="60"/>
    </row>
    <row r="19" spans="1:39" s="31" customFormat="1" ht="13.5" customHeight="1" x14ac:dyDescent="0.35">
      <c r="A19" s="35"/>
      <c r="B19" s="35"/>
      <c r="C19" s="66" t="e">
        <f>VLOOKUP(B16,Уч!$A$2:$L$26,11,FALSE)</f>
        <v>#N/A</v>
      </c>
      <c r="D19" s="107"/>
      <c r="E19" s="33" t="s">
        <v>98</v>
      </c>
      <c r="F19" s="72" t="e">
        <f>F18</f>
        <v>#N/A</v>
      </c>
      <c r="G19" s="70" t="e">
        <f>F19+G18</f>
        <v>#N/A</v>
      </c>
      <c r="H19" s="70" t="e">
        <f>G19+H18</f>
        <v>#N/A</v>
      </c>
      <c r="I19" s="70" t="e">
        <f>H19+I18</f>
        <v>#N/A</v>
      </c>
      <c r="J19" s="70" t="e">
        <f>SUM($F18:J18)</f>
        <v>#N/A</v>
      </c>
      <c r="K19" s="70" t="e">
        <f>SUM($F18:$K18)</f>
        <v>#N/A</v>
      </c>
      <c r="L19" s="70" t="e">
        <f>K19+L18</f>
        <v>#N/A</v>
      </c>
      <c r="M19" s="70" t="e">
        <f>L19+M18</f>
        <v>#N/A</v>
      </c>
      <c r="N19" s="70" t="e">
        <f>SUM($F18:$N18)</f>
        <v>#N/A</v>
      </c>
      <c r="O19" s="70" t="e">
        <f>SUM($F18:$O18)</f>
        <v>#N/A</v>
      </c>
      <c r="P19" s="97"/>
      <c r="Q19" s="80"/>
      <c r="R19" s="63"/>
      <c r="S19" s="31" t="e">
        <f>$A16</f>
        <v>#N/A</v>
      </c>
      <c r="T19" s="31">
        <v>4</v>
      </c>
      <c r="U19" s="63" t="e">
        <f t="shared" ref="U19:AD19" si="0">F19</f>
        <v>#N/A</v>
      </c>
      <c r="V19" s="63" t="e">
        <f t="shared" si="0"/>
        <v>#N/A</v>
      </c>
      <c r="W19" s="63" t="e">
        <f t="shared" si="0"/>
        <v>#N/A</v>
      </c>
      <c r="X19" s="63" t="e">
        <f t="shared" si="0"/>
        <v>#N/A</v>
      </c>
      <c r="Y19" s="63" t="e">
        <f t="shared" si="0"/>
        <v>#N/A</v>
      </c>
      <c r="Z19" s="63" t="e">
        <f t="shared" si="0"/>
        <v>#N/A</v>
      </c>
      <c r="AA19" s="63" t="e">
        <f t="shared" si="0"/>
        <v>#N/A</v>
      </c>
      <c r="AB19" s="63" t="e">
        <f t="shared" si="0"/>
        <v>#N/A</v>
      </c>
      <c r="AC19" s="63" t="e">
        <f t="shared" si="0"/>
        <v>#N/A</v>
      </c>
      <c r="AD19" s="63" t="e">
        <f t="shared" si="0"/>
        <v>#N/A</v>
      </c>
      <c r="AE19" s="60"/>
      <c r="AF19" s="35"/>
      <c r="AG19" s="35"/>
      <c r="AH19" s="60"/>
      <c r="AI19" s="35"/>
      <c r="AJ19" s="60"/>
      <c r="AK19" s="60"/>
      <c r="AL19" s="60"/>
      <c r="AM19" s="60"/>
    </row>
    <row r="20" spans="1:39" s="31" customFormat="1" ht="13.5" customHeight="1" thickBot="1" x14ac:dyDescent="0.4">
      <c r="A20" s="73"/>
      <c r="B20" s="73"/>
      <c r="C20" s="74" t="e">
        <f>VLOOKUP(B16,Уч!$A$2:$L$26,12,FALSE)</f>
        <v>#N/A</v>
      </c>
      <c r="D20" s="108"/>
      <c r="E20" s="43" t="s">
        <v>37</v>
      </c>
      <c r="F20" s="75" t="e">
        <f>RANK(F19,$U$19:$U$160,0)</f>
        <v>#N/A</v>
      </c>
      <c r="G20" s="76" t="e">
        <f>RANK(G19,$V$19:$V$160,0)</f>
        <v>#N/A</v>
      </c>
      <c r="H20" s="76" t="e">
        <f>RANK(H19,$W$19:$W$160,0)</f>
        <v>#N/A</v>
      </c>
      <c r="I20" s="76" t="e">
        <f>RANK(I19,$X$19:$X$160,0)</f>
        <v>#N/A</v>
      </c>
      <c r="J20" s="76" t="e">
        <f>RANK(J19,$Y$19:$Y$160,0)</f>
        <v>#N/A</v>
      </c>
      <c r="K20" s="76" t="e">
        <f>RANK(K19,$Z$19:$Z$160,0)</f>
        <v>#N/A</v>
      </c>
      <c r="L20" s="76" t="e">
        <f>RANK(L19,$AA$19:$AA$160,0)</f>
        <v>#N/A</v>
      </c>
      <c r="M20" s="76" t="e">
        <f>RANK(M19,$AB$19:$AB$150,0)</f>
        <v>#N/A</v>
      </c>
      <c r="N20" s="76" t="e">
        <f>RANK(N19,$AC$19:$AC$160,0)</f>
        <v>#N/A</v>
      </c>
      <c r="O20" s="76" t="e">
        <f>RANK(O19,$AD$19:$AD$160,0)</f>
        <v>#N/A</v>
      </c>
      <c r="P20" s="98"/>
      <c r="Q20" s="77"/>
      <c r="R20" s="77"/>
      <c r="S20" s="31" t="e">
        <f>$A16</f>
        <v>#N/A</v>
      </c>
      <c r="T20" s="31">
        <v>5</v>
      </c>
      <c r="U20" s="83"/>
      <c r="V20" s="78"/>
      <c r="W20" s="78"/>
      <c r="X20" s="78"/>
      <c r="Y20" s="78"/>
      <c r="Z20" s="78"/>
      <c r="AA20" s="78"/>
      <c r="AB20" s="79"/>
      <c r="AC20" s="79"/>
      <c r="AD20" s="79"/>
      <c r="AE20" s="60"/>
      <c r="AF20" s="35"/>
      <c r="AG20" s="35"/>
      <c r="AH20" s="60"/>
      <c r="AI20" s="35"/>
      <c r="AJ20" s="60"/>
      <c r="AK20" s="60"/>
      <c r="AL20" s="60"/>
      <c r="AM20" s="60"/>
    </row>
    <row r="21" spans="1:39" s="60" customFormat="1" ht="13.5" customHeight="1" thickTop="1" x14ac:dyDescent="0.35">
      <c r="A21" s="35" t="e">
        <f>RANK(P21,$P$16:$P$160,0)</f>
        <v>#N/A</v>
      </c>
      <c r="B21" s="35">
        <v>17</v>
      </c>
      <c r="C21" s="60" t="e">
        <f>VLOOKUP(B21,Уч!$A$2:$L$26,2,FALSE)</f>
        <v>#N/A</v>
      </c>
      <c r="D21" s="107" t="e">
        <f>VLOOKUP(B21,Уч!$A$2:$L$26,3,FALSE)</f>
        <v>#N/A</v>
      </c>
      <c r="E21" s="33" t="s">
        <v>28</v>
      </c>
      <c r="F21" s="61" t="e">
        <f>VLOOKUP($B21,'100 м 1'!$C$18:$I$86,5,FALSE)</f>
        <v>#N/A</v>
      </c>
      <c r="G21" s="62" t="e">
        <f>VLOOKUP($B21,'длина 2 '!$C$16:$O$54,11,FALSE)</f>
        <v>#N/A</v>
      </c>
      <c r="H21" s="62" t="e">
        <f>VLOOKUP($B21,'ядро 2'!$C$16:$K$60,8,FALSE)</f>
        <v>#N/A</v>
      </c>
      <c r="I21" s="62" t="e">
        <f>VLOOKUP($B21,'высота 2'!$C$16:$AF$57,13,FALSE)</f>
        <v>#N/A</v>
      </c>
      <c r="J21" s="62" t="e">
        <f>VLOOKUP($B21,'4_р'!$C$17:$H$73,5,FALSE)</f>
        <v>#N/A</v>
      </c>
      <c r="K21" s="62" t="e">
        <f>VLOOKUP($B21,'1cб_р'!$C$17:$I$63,5,FALSE)</f>
        <v>#N/A</v>
      </c>
      <c r="L21" s="62" t="e">
        <f>VLOOKUP($B21,Дс_р!$C$16:$K$70,8,FALSE)</f>
        <v>#N/A</v>
      </c>
      <c r="M21" s="62" t="e">
        <f>VLOOKUP($B21,Ш_р!$C$15:$AF$69,17,FALSE)</f>
        <v>#N/A</v>
      </c>
      <c r="N21" s="62" t="e">
        <f>VLOOKUP($B21,К_р!$C$15:$K$68,8,FALSE)</f>
        <v>#N/A</v>
      </c>
      <c r="O21" s="70" t="e">
        <f>VLOOKUP($B21,'15_р'!$C$17:$H$86,5,FALSE)</f>
        <v>#N/A</v>
      </c>
      <c r="P21" s="97" t="e">
        <f>SUM(F23:O23)</f>
        <v>#N/A</v>
      </c>
      <c r="Q21" s="35" t="e">
        <f>LOOKUP(P21,$V$1:$V$7,$W$1:$W$7)</f>
        <v>#N/A</v>
      </c>
      <c r="R21" s="35"/>
      <c r="S21" s="31" t="e">
        <f>$A21</f>
        <v>#N/A</v>
      </c>
      <c r="T21" s="31">
        <v>1</v>
      </c>
      <c r="U21" s="78"/>
      <c r="V21" s="78"/>
      <c r="W21" s="78"/>
      <c r="X21" s="78"/>
      <c r="Y21" s="78"/>
      <c r="Z21" s="78"/>
      <c r="AA21" s="78"/>
      <c r="AB21" s="79"/>
      <c r="AC21" s="79"/>
      <c r="AD21" s="79"/>
      <c r="AF21" s="65">
        <v>15</v>
      </c>
      <c r="AG21" s="36">
        <v>3</v>
      </c>
      <c r="AH21" s="82"/>
      <c r="AI21" s="31"/>
    </row>
    <row r="22" spans="1:39" s="60" customFormat="1" ht="13.5" customHeight="1" x14ac:dyDescent="0.35">
      <c r="A22" s="35"/>
      <c r="B22" s="35"/>
      <c r="C22" s="66" t="e">
        <f>VLOOKUP(B21,Уч!$A$2:$L$26,5,FALSE)</f>
        <v>#N/A</v>
      </c>
      <c r="D22" s="109" t="e">
        <f>VLOOKUP(B21,Уч!$A$2:$L$26,4,FALSE)</f>
        <v>#N/A</v>
      </c>
      <c r="E22" s="33" t="s">
        <v>97</v>
      </c>
      <c r="F22" s="68" t="e">
        <f>VLOOKUP($B21,'100 м 1'!$C$18:$I$86,6,FALSE)</f>
        <v>#N/A</v>
      </c>
      <c r="G22" s="69" t="e">
        <f>VLOOKUP($B21,'длина 2 '!$C$16:$O$54,12,FALSE)</f>
        <v>#N/A</v>
      </c>
      <c r="H22" s="70"/>
      <c r="I22" s="69"/>
      <c r="J22" s="69"/>
      <c r="K22" s="69" t="e">
        <f>VLOOKUP($B21,'1cб_р'!$C$17:$I$63,6,FALSE)</f>
        <v>#N/A</v>
      </c>
      <c r="L22" s="69"/>
      <c r="M22" s="69"/>
      <c r="N22" s="70"/>
      <c r="O22" s="70"/>
      <c r="P22" s="97"/>
      <c r="Q22" s="80"/>
      <c r="R22" s="63"/>
      <c r="S22" s="31" t="e">
        <f>$A21</f>
        <v>#N/A</v>
      </c>
      <c r="T22" s="31">
        <v>2</v>
      </c>
      <c r="U22" s="78"/>
      <c r="V22" s="78"/>
      <c r="W22" s="78"/>
      <c r="X22" s="78"/>
      <c r="Y22" s="78"/>
      <c r="Z22" s="78"/>
      <c r="AA22" s="78"/>
      <c r="AB22" s="79"/>
      <c r="AC22" s="79"/>
      <c r="AD22" s="79"/>
      <c r="AF22" s="65">
        <v>16</v>
      </c>
      <c r="AG22" s="36">
        <v>2</v>
      </c>
      <c r="AH22" s="82"/>
      <c r="AI22" s="31"/>
    </row>
    <row r="23" spans="1:39" s="60" customFormat="1" ht="13.5" customHeight="1" x14ac:dyDescent="0.35">
      <c r="A23" s="35"/>
      <c r="B23" s="35"/>
      <c r="C23" s="67" t="e">
        <f>VLOOKUP(B21,Уч!$A$2:$L$26,7)</f>
        <v>#N/A</v>
      </c>
      <c r="D23" s="109"/>
      <c r="E23" s="33" t="s">
        <v>77</v>
      </c>
      <c r="F23" s="72" t="e">
        <f>VLOOKUP($B21,'100 м 1'!$C$18:$I$86,7,FALSE)</f>
        <v>#N/A</v>
      </c>
      <c r="G23" s="70" t="e">
        <f>VLOOKUP($B21,'длина 2 '!$C$16:$O$54,13,FALSE)</f>
        <v>#N/A</v>
      </c>
      <c r="H23" s="70" t="e">
        <f>VLOOKUP($B21,'ядро 2'!$C$16:$K$60,9,FALSE)</f>
        <v>#N/A</v>
      </c>
      <c r="I23" s="70" t="e">
        <f>VLOOKUP($B21,'высота 2'!$C$16:$AF$57,14,FALSE)</f>
        <v>#N/A</v>
      </c>
      <c r="J23" s="70" t="e">
        <f>VLOOKUP($B21,'4_р'!$C$17:$H$73,6,FALSE)</f>
        <v>#N/A</v>
      </c>
      <c r="K23" s="70" t="e">
        <f>VLOOKUP($B21,'1cб_р'!$C$17:$I$63,7,FALSE)</f>
        <v>#N/A</v>
      </c>
      <c r="L23" s="70" t="e">
        <f>VLOOKUP($B21,Дс_р!$C$16:$K$70,9,FALSE)</f>
        <v>#N/A</v>
      </c>
      <c r="M23" s="70" t="e">
        <f>VLOOKUP($B21,Ш_р!$C$15:$AF$69,18,FALSE)</f>
        <v>#N/A</v>
      </c>
      <c r="N23" s="70" t="e">
        <f>VLOOKUP($B21,К_р!$C$15:$K$68,9,FALSE)</f>
        <v>#N/A</v>
      </c>
      <c r="O23" s="70" t="e">
        <f>VLOOKUP($B21,'15_р'!$C$17:$H$86,6,FALSE)</f>
        <v>#N/A</v>
      </c>
      <c r="P23" s="97"/>
      <c r="Q23" s="80"/>
      <c r="R23" s="63"/>
      <c r="S23" s="31" t="e">
        <f>$A21</f>
        <v>#N/A</v>
      </c>
      <c r="T23" s="31">
        <v>3</v>
      </c>
      <c r="U23" s="78"/>
      <c r="V23" s="78"/>
      <c r="W23" s="78"/>
      <c r="X23" s="78"/>
      <c r="Y23" s="78"/>
      <c r="Z23" s="78"/>
      <c r="AA23" s="78"/>
      <c r="AB23" s="79"/>
      <c r="AC23" s="79"/>
      <c r="AD23" s="79"/>
      <c r="AF23" s="35" t="s">
        <v>61</v>
      </c>
      <c r="AG23" s="35">
        <v>1</v>
      </c>
      <c r="AH23" s="36" t="s">
        <v>81</v>
      </c>
      <c r="AI23" s="31"/>
    </row>
    <row r="24" spans="1:39" s="60" customFormat="1" ht="13.5" customHeight="1" x14ac:dyDescent="0.35">
      <c r="A24" s="35"/>
      <c r="B24" s="35"/>
      <c r="C24" s="66" t="e">
        <f>VLOOKUP(B21,Уч!$A$2:$L$26,11,FALSE)</f>
        <v>#N/A</v>
      </c>
      <c r="D24" s="109"/>
      <c r="E24" s="33" t="s">
        <v>98</v>
      </c>
      <c r="F24" s="72" t="e">
        <f>F23</f>
        <v>#N/A</v>
      </c>
      <c r="G24" s="70" t="e">
        <f>F24+G23</f>
        <v>#N/A</v>
      </c>
      <c r="H24" s="70" t="e">
        <f>G24+H23</f>
        <v>#N/A</v>
      </c>
      <c r="I24" s="70" t="e">
        <f>H24+I23</f>
        <v>#N/A</v>
      </c>
      <c r="J24" s="70" t="e">
        <f>SUM($F23:J23)</f>
        <v>#N/A</v>
      </c>
      <c r="K24" s="70" t="e">
        <f>SUM($F23:$K23)</f>
        <v>#N/A</v>
      </c>
      <c r="L24" s="70" t="e">
        <f>K24+L23</f>
        <v>#N/A</v>
      </c>
      <c r="M24" s="70" t="e">
        <f>L24+M23</f>
        <v>#N/A</v>
      </c>
      <c r="N24" s="70" t="e">
        <f>SUM($F23:$N23)</f>
        <v>#N/A</v>
      </c>
      <c r="O24" s="70" t="e">
        <f>SUM($F23:$O23)</f>
        <v>#N/A</v>
      </c>
      <c r="P24" s="97"/>
      <c r="Q24" s="80"/>
      <c r="R24" s="63"/>
      <c r="S24" s="31" t="e">
        <f>$A21</f>
        <v>#N/A</v>
      </c>
      <c r="T24" s="31">
        <v>4</v>
      </c>
      <c r="U24" s="63" t="e">
        <f t="shared" ref="U24:AD24" si="1">F24</f>
        <v>#N/A</v>
      </c>
      <c r="V24" s="63" t="e">
        <f t="shared" si="1"/>
        <v>#N/A</v>
      </c>
      <c r="W24" s="63" t="e">
        <f t="shared" si="1"/>
        <v>#N/A</v>
      </c>
      <c r="X24" s="63" t="e">
        <f t="shared" si="1"/>
        <v>#N/A</v>
      </c>
      <c r="Y24" s="63" t="e">
        <f t="shared" si="1"/>
        <v>#N/A</v>
      </c>
      <c r="Z24" s="63" t="e">
        <f t="shared" si="1"/>
        <v>#N/A</v>
      </c>
      <c r="AA24" s="63" t="e">
        <f t="shared" si="1"/>
        <v>#N/A</v>
      </c>
      <c r="AB24" s="63" t="e">
        <f t="shared" si="1"/>
        <v>#N/A</v>
      </c>
      <c r="AC24" s="63" t="e">
        <f t="shared" si="1"/>
        <v>#N/A</v>
      </c>
      <c r="AD24" s="63" t="e">
        <f t="shared" si="1"/>
        <v>#N/A</v>
      </c>
      <c r="AF24" s="65" t="s">
        <v>82</v>
      </c>
      <c r="AG24" s="35">
        <v>1</v>
      </c>
      <c r="AH24" s="36" t="s">
        <v>83</v>
      </c>
      <c r="AI24" s="31"/>
    </row>
    <row r="25" spans="1:39" s="60" customFormat="1" ht="13.5" customHeight="1" thickBot="1" x14ac:dyDescent="0.4">
      <c r="A25" s="73"/>
      <c r="B25" s="73"/>
      <c r="C25" s="74" t="e">
        <f>VLOOKUP(B21,Уч!$A$2:$L$26,12,FALSE)</f>
        <v>#N/A</v>
      </c>
      <c r="D25" s="110"/>
      <c r="E25" s="43" t="s">
        <v>37</v>
      </c>
      <c r="F25" s="75" t="e">
        <f>RANK(F24,$U$19:$U$160,0)</f>
        <v>#N/A</v>
      </c>
      <c r="G25" s="76" t="e">
        <f>RANK(G24,$V$19:$V$160,0)</f>
        <v>#N/A</v>
      </c>
      <c r="H25" s="76" t="e">
        <f>RANK(H24,$W$19:$W$160,0)</f>
        <v>#N/A</v>
      </c>
      <c r="I25" s="76" t="e">
        <f>RANK(I24,$X$19:$X$160,0)</f>
        <v>#N/A</v>
      </c>
      <c r="J25" s="76" t="e">
        <f>RANK(J24,$Y$19:$Y$160,0)</f>
        <v>#N/A</v>
      </c>
      <c r="K25" s="76" t="e">
        <f>RANK(K24,$Z$19:$Z$160,0)</f>
        <v>#N/A</v>
      </c>
      <c r="L25" s="76" t="e">
        <f>RANK(L24,$AA$19:$AA$160,0)</f>
        <v>#N/A</v>
      </c>
      <c r="M25" s="76" t="e">
        <f>RANK(M24,$AB$19:$AB$150,0)</f>
        <v>#N/A</v>
      </c>
      <c r="N25" s="76" t="e">
        <f>RANK(N24,$AC$19:$AC$160,0)</f>
        <v>#N/A</v>
      </c>
      <c r="O25" s="76" t="e">
        <f>RANK(O24,$AD$19:$AD$160,0)</f>
        <v>#N/A</v>
      </c>
      <c r="P25" s="98"/>
      <c r="Q25" s="81"/>
      <c r="R25" s="77"/>
      <c r="S25" s="31" t="e">
        <f>$A21</f>
        <v>#N/A</v>
      </c>
      <c r="T25" s="31">
        <v>5</v>
      </c>
      <c r="U25" s="78"/>
      <c r="V25" s="78"/>
      <c r="W25" s="78"/>
      <c r="X25" s="78"/>
      <c r="Y25" s="78"/>
      <c r="Z25" s="78"/>
      <c r="AA25" s="78"/>
      <c r="AB25" s="79"/>
      <c r="AC25" s="79"/>
      <c r="AD25" s="79"/>
      <c r="AF25" s="65" t="s">
        <v>84</v>
      </c>
      <c r="AG25" s="35">
        <v>1</v>
      </c>
      <c r="AH25" s="36" t="s">
        <v>79</v>
      </c>
      <c r="AI25" s="35"/>
    </row>
    <row r="26" spans="1:39" s="60" customFormat="1" ht="13.5" customHeight="1" thickTop="1" x14ac:dyDescent="0.35">
      <c r="A26" s="35" t="e">
        <f>RANK(P26,$P$16:$P$160,0)</f>
        <v>#N/A</v>
      </c>
      <c r="B26" s="35">
        <v>59</v>
      </c>
      <c r="C26" s="60" t="e">
        <f>VLOOKUP(B26,Уч!$A$2:$L$26,2,FALSE)</f>
        <v>#N/A</v>
      </c>
      <c r="D26" s="107" t="e">
        <f>VLOOKUP(B26,Уч!$A$2:$L$26,3,FALSE)</f>
        <v>#N/A</v>
      </c>
      <c r="E26" s="33" t="s">
        <v>28</v>
      </c>
      <c r="F26" s="61" t="e">
        <f>VLOOKUP($B26,'100 м 1'!$C$18:$I$86,5,FALSE)</f>
        <v>#N/A</v>
      </c>
      <c r="G26" s="62" t="e">
        <f>VLOOKUP($B26,'длина 2 '!$C$16:$O$54,11,FALSE)</f>
        <v>#N/A</v>
      </c>
      <c r="H26" s="62" t="e">
        <f>VLOOKUP($B26,'ядро 2'!$C$16:$K$60,8,FALSE)</f>
        <v>#N/A</v>
      </c>
      <c r="I26" s="62" t="e">
        <f>VLOOKUP($B26,'высота 2'!$C$16:$AF$57,13,FALSE)</f>
        <v>#N/A</v>
      </c>
      <c r="J26" s="62" t="e">
        <f>VLOOKUP($B26,'4_р'!$C$17:$H$73,5,FALSE)</f>
        <v>#N/A</v>
      </c>
      <c r="K26" s="62" t="e">
        <f>VLOOKUP($B26,'1cб_р'!$C$17:$I$63,5,FALSE)</f>
        <v>#N/A</v>
      </c>
      <c r="L26" s="62" t="e">
        <f>VLOOKUP($B26,Дс_р!$C$16:$K$70,8,FALSE)</f>
        <v>#N/A</v>
      </c>
      <c r="M26" s="62" t="e">
        <f>VLOOKUP($B26,Ш_р!$C$15:$AF$69,17,FALSE)</f>
        <v>#N/A</v>
      </c>
      <c r="N26" s="62" t="e">
        <f>VLOOKUP($B26,К_р!$C$15:$K$68,8,FALSE)</f>
        <v>#N/A</v>
      </c>
      <c r="O26" s="70" t="e">
        <f>VLOOKUP($B26,'15_р'!$C$17:$H$86,5,FALSE)</f>
        <v>#N/A</v>
      </c>
      <c r="P26" s="97" t="e">
        <f>SUM(F28:O28)</f>
        <v>#N/A</v>
      </c>
      <c r="Q26" s="35" t="e">
        <f>LOOKUP(P26,$V$1:$V$7,$W$1:$W$7)</f>
        <v>#N/A</v>
      </c>
      <c r="R26" s="35"/>
      <c r="S26" s="31" t="e">
        <f>$A26</f>
        <v>#N/A</v>
      </c>
      <c r="T26" s="31">
        <v>1</v>
      </c>
      <c r="U26" s="83"/>
      <c r="V26" s="78"/>
      <c r="W26" s="78"/>
      <c r="X26" s="78"/>
      <c r="Y26" s="78"/>
      <c r="Z26" s="78"/>
      <c r="AA26" s="78"/>
      <c r="AB26" s="79"/>
      <c r="AC26" s="79"/>
      <c r="AD26" s="79"/>
      <c r="AF26" s="35"/>
      <c r="AG26" s="35"/>
      <c r="AI26" s="35"/>
    </row>
    <row r="27" spans="1:39" s="60" customFormat="1" ht="13.5" customHeight="1" x14ac:dyDescent="0.35">
      <c r="A27" s="35"/>
      <c r="B27" s="35"/>
      <c r="C27" s="66" t="e">
        <f>VLOOKUP(B26,Уч!$A$2:$L$26,5,FALSE)</f>
        <v>#N/A</v>
      </c>
      <c r="D27" s="107" t="e">
        <f>VLOOKUP(B26,Уч!$A$2:$L$26,4,FALSE)</f>
        <v>#N/A</v>
      </c>
      <c r="E27" s="33" t="s">
        <v>97</v>
      </c>
      <c r="F27" s="68" t="e">
        <f>VLOOKUP($B26,'100 м 1'!$C$18:$I$86,6,FALSE)</f>
        <v>#N/A</v>
      </c>
      <c r="G27" s="69" t="e">
        <f>VLOOKUP($B26,'длина 2 '!$C$16:$O$54,12,FALSE)</f>
        <v>#N/A</v>
      </c>
      <c r="H27" s="70"/>
      <c r="I27" s="69"/>
      <c r="J27" s="69"/>
      <c r="K27" s="69" t="e">
        <f>VLOOKUP($B26,'1cб_р'!$C$17:$I$63,6,FALSE)</f>
        <v>#N/A</v>
      </c>
      <c r="L27" s="69"/>
      <c r="M27" s="69"/>
      <c r="N27" s="70"/>
      <c r="O27" s="70"/>
      <c r="P27" s="97"/>
      <c r="Q27" s="80"/>
      <c r="R27" s="63"/>
      <c r="S27" s="31" t="e">
        <f>$A26</f>
        <v>#N/A</v>
      </c>
      <c r="T27" s="31">
        <v>2</v>
      </c>
      <c r="U27" s="83"/>
      <c r="V27" s="78"/>
      <c r="W27" s="78"/>
      <c r="X27" s="78"/>
      <c r="Y27" s="78"/>
      <c r="Z27" s="78"/>
      <c r="AA27" s="78"/>
      <c r="AB27" s="79"/>
      <c r="AC27" s="79"/>
      <c r="AD27" s="79"/>
      <c r="AF27" s="35"/>
      <c r="AG27" s="35"/>
      <c r="AI27" s="35"/>
    </row>
    <row r="28" spans="1:39" s="60" customFormat="1" ht="13.5" customHeight="1" x14ac:dyDescent="0.35">
      <c r="A28" s="35"/>
      <c r="B28" s="35"/>
      <c r="C28" s="67" t="str">
        <f>VLOOKUP(B26,Уч!$A$2:$L$26,7)</f>
        <v>МБУ ДО ДЮСШ №6</v>
      </c>
      <c r="D28" s="107"/>
      <c r="E28" s="33" t="s">
        <v>77</v>
      </c>
      <c r="F28" s="72" t="e">
        <f>VLOOKUP($B26,'100 м 1'!$C$18:$I$86,7,FALSE)</f>
        <v>#N/A</v>
      </c>
      <c r="G28" s="70" t="e">
        <f>VLOOKUP($B26,'длина 2 '!$C$16:$O$54,13,FALSE)</f>
        <v>#N/A</v>
      </c>
      <c r="H28" s="70" t="e">
        <f>VLOOKUP($B26,'ядро 2'!$C$16:$K$60,9,FALSE)</f>
        <v>#N/A</v>
      </c>
      <c r="I28" s="70" t="e">
        <f>VLOOKUP($B26,'высота 2'!$C$16:$AF$57,14,FALSE)</f>
        <v>#N/A</v>
      </c>
      <c r="J28" s="70" t="e">
        <f>VLOOKUP($B26,'4_р'!$C$17:$H$73,6,FALSE)</f>
        <v>#N/A</v>
      </c>
      <c r="K28" s="70" t="e">
        <f>VLOOKUP($B26,'1cб_р'!$C$17:$I$63,7,FALSE)</f>
        <v>#N/A</v>
      </c>
      <c r="L28" s="70" t="e">
        <f>VLOOKUP($B26,Дс_р!$C$16:$K$70,9,FALSE)</f>
        <v>#N/A</v>
      </c>
      <c r="M28" s="70" t="e">
        <f>VLOOKUP($B26,Ш_р!$C$15:$AF$69,18,FALSE)</f>
        <v>#N/A</v>
      </c>
      <c r="N28" s="70" t="e">
        <f>VLOOKUP($B26,К_р!$C$15:$K$68,9,FALSE)</f>
        <v>#N/A</v>
      </c>
      <c r="O28" s="70" t="e">
        <f>VLOOKUP($B26,'15_р'!$C$17:$H$86,6,FALSE)</f>
        <v>#N/A</v>
      </c>
      <c r="P28" s="97"/>
      <c r="Q28" s="63"/>
      <c r="R28" s="63"/>
      <c r="S28" s="31" t="e">
        <f>$A26</f>
        <v>#N/A</v>
      </c>
      <c r="T28" s="31">
        <v>3</v>
      </c>
      <c r="U28" s="83"/>
      <c r="V28" s="78"/>
      <c r="W28" s="78"/>
      <c r="X28" s="78"/>
      <c r="Y28" s="78"/>
      <c r="Z28" s="78"/>
      <c r="AA28" s="78"/>
      <c r="AB28" s="79"/>
      <c r="AC28" s="79"/>
      <c r="AD28" s="79"/>
      <c r="AF28" s="35"/>
      <c r="AG28" s="35"/>
      <c r="AI28" s="35"/>
    </row>
    <row r="29" spans="1:39" s="60" customFormat="1" ht="13.5" customHeight="1" x14ac:dyDescent="0.35">
      <c r="A29" s="35"/>
      <c r="B29" s="35"/>
      <c r="C29" s="66" t="e">
        <f>VLOOKUP(B26,Уч!$A$2:$L$26,11,FALSE)</f>
        <v>#N/A</v>
      </c>
      <c r="D29" s="107"/>
      <c r="E29" s="33" t="s">
        <v>98</v>
      </c>
      <c r="F29" s="72" t="e">
        <f>F28</f>
        <v>#N/A</v>
      </c>
      <c r="G29" s="70" t="e">
        <f>F29+G28</f>
        <v>#N/A</v>
      </c>
      <c r="H29" s="70" t="e">
        <f>G29+H28</f>
        <v>#N/A</v>
      </c>
      <c r="I29" s="70" t="e">
        <f>H29+I28</f>
        <v>#N/A</v>
      </c>
      <c r="J29" s="70" t="e">
        <f>SUM($F28:J28)</f>
        <v>#N/A</v>
      </c>
      <c r="K29" s="70" t="e">
        <f>SUM($F28:$K28)</f>
        <v>#N/A</v>
      </c>
      <c r="L29" s="70" t="e">
        <f>K29+L28</f>
        <v>#N/A</v>
      </c>
      <c r="M29" s="70" t="e">
        <f>L29+M28</f>
        <v>#N/A</v>
      </c>
      <c r="N29" s="70" t="e">
        <f>SUM($F28:$N28)</f>
        <v>#N/A</v>
      </c>
      <c r="O29" s="70" t="e">
        <f>SUM($F28:$O28)</f>
        <v>#N/A</v>
      </c>
      <c r="P29" s="97"/>
      <c r="Q29" s="63"/>
      <c r="R29" s="63"/>
      <c r="S29" s="31" t="e">
        <f>$A26</f>
        <v>#N/A</v>
      </c>
      <c r="T29" s="31">
        <v>4</v>
      </c>
      <c r="U29" s="63" t="e">
        <f t="shared" ref="U29:AD29" si="2">F29</f>
        <v>#N/A</v>
      </c>
      <c r="V29" s="63" t="e">
        <f t="shared" si="2"/>
        <v>#N/A</v>
      </c>
      <c r="W29" s="63" t="e">
        <f t="shared" si="2"/>
        <v>#N/A</v>
      </c>
      <c r="X29" s="63" t="e">
        <f t="shared" si="2"/>
        <v>#N/A</v>
      </c>
      <c r="Y29" s="63" t="e">
        <f t="shared" si="2"/>
        <v>#N/A</v>
      </c>
      <c r="Z29" s="63" t="e">
        <f t="shared" si="2"/>
        <v>#N/A</v>
      </c>
      <c r="AA29" s="63" t="e">
        <f t="shared" si="2"/>
        <v>#N/A</v>
      </c>
      <c r="AB29" s="63" t="e">
        <f t="shared" si="2"/>
        <v>#N/A</v>
      </c>
      <c r="AC29" s="63" t="e">
        <f t="shared" si="2"/>
        <v>#N/A</v>
      </c>
      <c r="AD29" s="63" t="e">
        <f t="shared" si="2"/>
        <v>#N/A</v>
      </c>
      <c r="AF29" s="35"/>
      <c r="AG29" s="35"/>
      <c r="AI29" s="35"/>
    </row>
    <row r="30" spans="1:39" s="60" customFormat="1" ht="13.5" customHeight="1" thickBot="1" x14ac:dyDescent="0.4">
      <c r="A30" s="73"/>
      <c r="B30" s="73"/>
      <c r="C30" s="74" t="e">
        <f>VLOOKUP(B26,Уч!$A$2:$L$26,12,FALSE)</f>
        <v>#N/A</v>
      </c>
      <c r="D30" s="108"/>
      <c r="E30" s="43" t="s">
        <v>37</v>
      </c>
      <c r="F30" s="75" t="e">
        <f>RANK(F29,$U$19:$U$160,0)</f>
        <v>#N/A</v>
      </c>
      <c r="G30" s="76" t="e">
        <f>RANK(G29,$V$19:$V$160,0)</f>
        <v>#N/A</v>
      </c>
      <c r="H30" s="76" t="e">
        <f>RANK(H29,$W$19:$W$160,0)</f>
        <v>#N/A</v>
      </c>
      <c r="I30" s="76" t="e">
        <f>RANK(I29,$X$19:$X$160,0)</f>
        <v>#N/A</v>
      </c>
      <c r="J30" s="76" t="e">
        <f>RANK(J29,$Y$19:$Y$160,0)</f>
        <v>#N/A</v>
      </c>
      <c r="K30" s="76" t="e">
        <f>RANK(K29,$Z$19:$Z$160,0)</f>
        <v>#N/A</v>
      </c>
      <c r="L30" s="76" t="e">
        <f>RANK(L29,$AA$19:$AA$160,0)</f>
        <v>#N/A</v>
      </c>
      <c r="M30" s="76" t="e">
        <f>RANK(M29,$AB$19:$AB$150,0)</f>
        <v>#N/A</v>
      </c>
      <c r="N30" s="76" t="e">
        <f>RANK(N29,$AC$19:$AC$160,0)</f>
        <v>#N/A</v>
      </c>
      <c r="O30" s="76" t="e">
        <f>RANK(O29,$AD$19:$AD$160,0)</f>
        <v>#N/A</v>
      </c>
      <c r="P30" s="98"/>
      <c r="Q30" s="77"/>
      <c r="R30" s="77"/>
      <c r="S30" s="31" t="e">
        <f>$A26</f>
        <v>#N/A</v>
      </c>
      <c r="T30" s="31">
        <v>5</v>
      </c>
      <c r="U30" s="83"/>
      <c r="V30" s="78"/>
      <c r="W30" s="78"/>
      <c r="X30" s="78"/>
      <c r="Y30" s="78"/>
      <c r="Z30" s="78"/>
      <c r="AA30" s="78"/>
      <c r="AB30" s="79"/>
      <c r="AC30" s="79"/>
      <c r="AD30" s="79"/>
      <c r="AF30" s="35"/>
      <c r="AG30" s="35"/>
      <c r="AI30" s="35"/>
    </row>
    <row r="31" spans="1:39" s="60" customFormat="1" ht="13.5" customHeight="1" thickTop="1" x14ac:dyDescent="0.35">
      <c r="A31" s="35" t="e">
        <f>RANK(P31,$P$16:$P$160,0)</f>
        <v>#N/A</v>
      </c>
      <c r="B31" s="35">
        <v>37</v>
      </c>
      <c r="C31" s="60" t="str">
        <f>VLOOKUP(B31,Уч!$A$2:$L$26,2,FALSE)</f>
        <v>Гончарук Артём</v>
      </c>
      <c r="D31" s="107" t="str">
        <f>VLOOKUP(B31,Уч!$A$2:$L$26,3,FALSE)</f>
        <v>07.01.1992</v>
      </c>
      <c r="E31" s="33" t="s">
        <v>28</v>
      </c>
      <c r="F31" s="61">
        <f>VLOOKUP($B31,'100 м 1'!$C$18:$I$86,5,FALSE)</f>
        <v>11.13</v>
      </c>
      <c r="G31" s="62" t="e">
        <f>VLOOKUP($B31,'длина 2 '!$C$16:$O$54,11,FALSE)</f>
        <v>#N/A</v>
      </c>
      <c r="H31" s="62" t="e">
        <f>VLOOKUP($B31,'ядро 2'!$C$16:$K$60,8,FALSE)</f>
        <v>#N/A</v>
      </c>
      <c r="I31" s="62" t="e">
        <f>VLOOKUP($B31,'высота 2'!$C$16:$AF$57,13,FALSE)</f>
        <v>#N/A</v>
      </c>
      <c r="J31" s="62" t="e">
        <f>VLOOKUP($B31,'4_р'!$C$17:$H$73,5,FALSE)</f>
        <v>#N/A</v>
      </c>
      <c r="K31" s="62" t="e">
        <f>VLOOKUP($B31,'1cб_р'!$C$17:$I$63,5,FALSE)</f>
        <v>#N/A</v>
      </c>
      <c r="L31" s="62" t="e">
        <f>VLOOKUP($B31,Дс_р!$C$16:$K$70,8,FALSE)</f>
        <v>#N/A</v>
      </c>
      <c r="M31" s="62" t="e">
        <f>VLOOKUP($B31,Ш_р!$C$15:$AF$69,17,FALSE)</f>
        <v>#N/A</v>
      </c>
      <c r="N31" s="62" t="e">
        <f>VLOOKUP($B31,К_р!$C$15:$K$68,8,FALSE)</f>
        <v>#N/A</v>
      </c>
      <c r="O31" s="70" t="e">
        <f>VLOOKUP($B31,'15_р'!$C$17:$H$86,5,FALSE)</f>
        <v>#N/A</v>
      </c>
      <c r="P31" s="97" t="e">
        <f>SUM(F33:O33)</f>
        <v>#N/A</v>
      </c>
      <c r="Q31" s="35" t="e">
        <f>LOOKUP(P31,$V$1:$V$7,$W$1:$W$7)</f>
        <v>#N/A</v>
      </c>
      <c r="R31" s="35"/>
      <c r="S31" s="31" t="e">
        <f>$A31</f>
        <v>#N/A</v>
      </c>
      <c r="T31" s="31">
        <v>1</v>
      </c>
      <c r="U31" s="83"/>
      <c r="V31" s="78"/>
      <c r="W31" s="78"/>
      <c r="X31" s="78"/>
      <c r="Y31" s="78"/>
      <c r="Z31" s="78"/>
      <c r="AA31" s="78"/>
      <c r="AB31" s="79"/>
      <c r="AC31" s="79"/>
      <c r="AD31" s="79"/>
      <c r="AF31" s="35"/>
      <c r="AG31" s="35"/>
      <c r="AI31" s="35"/>
    </row>
    <row r="32" spans="1:39" s="60" customFormat="1" ht="13.5" customHeight="1" x14ac:dyDescent="0.35">
      <c r="A32" s="35"/>
      <c r="B32" s="35"/>
      <c r="C32" s="66" t="str">
        <f>VLOOKUP(B31,Уч!$A$2:$L$26,5,FALSE)</f>
        <v xml:space="preserve">Ульяновская область  </v>
      </c>
      <c r="D32" s="109" t="str">
        <f>VLOOKUP(B31,Уч!$A$2:$L$26,4,FALSE)</f>
        <v>МС</v>
      </c>
      <c r="E32" s="33" t="s">
        <v>97</v>
      </c>
      <c r="F32" s="68">
        <f>VLOOKUP($B31,'100 м 1'!$C$18:$I$86,6,FALSE)</f>
        <v>0</v>
      </c>
      <c r="G32" s="69" t="e">
        <f>VLOOKUP($B31,'длина 2 '!$C$16:$O$54,12,FALSE)</f>
        <v>#N/A</v>
      </c>
      <c r="H32" s="70"/>
      <c r="I32" s="69"/>
      <c r="J32" s="69"/>
      <c r="K32" s="69" t="e">
        <f>VLOOKUP($B31,'1cб_р'!$C$17:$I$63,6,FALSE)</f>
        <v>#N/A</v>
      </c>
      <c r="L32" s="69"/>
      <c r="M32" s="69"/>
      <c r="N32" s="70"/>
      <c r="O32" s="70"/>
      <c r="P32" s="97"/>
      <c r="Q32" s="36"/>
      <c r="R32" s="63"/>
      <c r="S32" s="31" t="e">
        <f>$A31</f>
        <v>#N/A</v>
      </c>
      <c r="T32" s="31">
        <v>2</v>
      </c>
      <c r="U32" s="83"/>
      <c r="V32" s="78"/>
      <c r="W32" s="78"/>
      <c r="X32" s="78"/>
      <c r="Y32" s="78"/>
      <c r="Z32" s="78"/>
      <c r="AA32" s="78"/>
      <c r="AB32" s="79"/>
      <c r="AC32" s="79"/>
      <c r="AD32" s="79"/>
      <c r="AF32" s="35"/>
      <c r="AG32" s="35"/>
      <c r="AI32" s="35"/>
    </row>
    <row r="33" spans="1:35" s="60" customFormat="1" ht="13.5" customHeight="1" x14ac:dyDescent="0.35">
      <c r="A33" s="35"/>
      <c r="B33" s="35"/>
      <c r="C33" s="67" t="str">
        <f>VLOOKUP(B31,Уч!$A$2:$L$26,7)</f>
        <v>МБУ ДО ДЮСШ №6</v>
      </c>
      <c r="D33" s="109"/>
      <c r="E33" s="33" t="s">
        <v>77</v>
      </c>
      <c r="F33" s="72">
        <f>VLOOKUP($B31,'100 м 1'!$C$18:$I$86,7,FALSE)</f>
        <v>832</v>
      </c>
      <c r="G33" s="70" t="e">
        <f>VLOOKUP($B31,'длина 2 '!$C$16:$O$54,13,FALSE)</f>
        <v>#N/A</v>
      </c>
      <c r="H33" s="70" t="e">
        <f>VLOOKUP($B31,'ядро 2'!$C$16:$K$60,9,FALSE)</f>
        <v>#N/A</v>
      </c>
      <c r="I33" s="70" t="e">
        <f>VLOOKUP($B31,'высота 2'!$C$16:$AF$57,14,FALSE)</f>
        <v>#N/A</v>
      </c>
      <c r="J33" s="70" t="e">
        <f>VLOOKUP($B31,'4_р'!$C$17:$H$73,6,FALSE)</f>
        <v>#N/A</v>
      </c>
      <c r="K33" s="70" t="e">
        <f>VLOOKUP($B31,'1cб_р'!$C$17:$I$63,7,FALSE)</f>
        <v>#N/A</v>
      </c>
      <c r="L33" s="70" t="e">
        <f>VLOOKUP($B31,Дс_р!$C$16:$K$70,9,FALSE)</f>
        <v>#N/A</v>
      </c>
      <c r="M33" s="70" t="e">
        <f>VLOOKUP($B31,Ш_р!$C$15:$AF$69,18,FALSE)</f>
        <v>#N/A</v>
      </c>
      <c r="N33" s="70" t="e">
        <f>VLOOKUP($B31,К_р!$C$15:$K$68,9,FALSE)</f>
        <v>#N/A</v>
      </c>
      <c r="O33" s="70" t="e">
        <f>VLOOKUP($B31,'15_р'!$C$17:$H$86,6,FALSE)</f>
        <v>#N/A</v>
      </c>
      <c r="P33" s="97"/>
      <c r="Q33" s="36"/>
      <c r="R33" s="63"/>
      <c r="S33" s="31" t="e">
        <f>$A31</f>
        <v>#N/A</v>
      </c>
      <c r="T33" s="31">
        <v>3</v>
      </c>
      <c r="U33" s="83"/>
      <c r="V33" s="78"/>
      <c r="W33" s="78"/>
      <c r="X33" s="78"/>
      <c r="Y33" s="78"/>
      <c r="Z33" s="78"/>
      <c r="AA33" s="78"/>
      <c r="AB33" s="79"/>
      <c r="AC33" s="79"/>
      <c r="AD33" s="79"/>
      <c r="AF33" s="35"/>
      <c r="AG33" s="35"/>
      <c r="AI33" s="35"/>
    </row>
    <row r="34" spans="1:35" s="60" customFormat="1" ht="13.5" customHeight="1" x14ac:dyDescent="0.35">
      <c r="A34" s="35"/>
      <c r="B34" s="35"/>
      <c r="C34" s="66" t="str">
        <f>VLOOKUP(B31,Уч!$A$2:$L$26,11,FALSE)</f>
        <v>Жульков Ю.А.</v>
      </c>
      <c r="D34" s="109"/>
      <c r="E34" s="33" t="s">
        <v>98</v>
      </c>
      <c r="F34" s="72">
        <f>F33</f>
        <v>832</v>
      </c>
      <c r="G34" s="70" t="e">
        <f>F34+G33</f>
        <v>#N/A</v>
      </c>
      <c r="H34" s="70" t="e">
        <f>G34+H33</f>
        <v>#N/A</v>
      </c>
      <c r="I34" s="70" t="e">
        <f>H34+I33</f>
        <v>#N/A</v>
      </c>
      <c r="J34" s="70" t="e">
        <f>SUM($F33:J33)</f>
        <v>#N/A</v>
      </c>
      <c r="K34" s="70" t="e">
        <f>SUM($F33:$K33)</f>
        <v>#N/A</v>
      </c>
      <c r="L34" s="70" t="e">
        <f>K34+L33</f>
        <v>#N/A</v>
      </c>
      <c r="M34" s="70" t="e">
        <f>L34+M33</f>
        <v>#N/A</v>
      </c>
      <c r="N34" s="70" t="e">
        <f>SUM($F33:$N33)</f>
        <v>#N/A</v>
      </c>
      <c r="O34" s="70" t="e">
        <f>SUM($F33:$O33)</f>
        <v>#N/A</v>
      </c>
      <c r="P34" s="97"/>
      <c r="Q34" s="36"/>
      <c r="R34" s="63"/>
      <c r="S34" s="31" t="e">
        <f>$A31</f>
        <v>#N/A</v>
      </c>
      <c r="T34" s="31">
        <v>4</v>
      </c>
      <c r="U34" s="63">
        <f t="shared" ref="U34:AD34" si="3">F34</f>
        <v>832</v>
      </c>
      <c r="V34" s="63" t="e">
        <f t="shared" si="3"/>
        <v>#N/A</v>
      </c>
      <c r="W34" s="63" t="e">
        <f t="shared" si="3"/>
        <v>#N/A</v>
      </c>
      <c r="X34" s="63" t="e">
        <f t="shared" si="3"/>
        <v>#N/A</v>
      </c>
      <c r="Y34" s="63" t="e">
        <f t="shared" si="3"/>
        <v>#N/A</v>
      </c>
      <c r="Z34" s="63" t="e">
        <f t="shared" si="3"/>
        <v>#N/A</v>
      </c>
      <c r="AA34" s="63" t="e">
        <f t="shared" si="3"/>
        <v>#N/A</v>
      </c>
      <c r="AB34" s="63" t="e">
        <f t="shared" si="3"/>
        <v>#N/A</v>
      </c>
      <c r="AC34" s="63" t="e">
        <f t="shared" si="3"/>
        <v>#N/A</v>
      </c>
      <c r="AD34" s="63" t="e">
        <f t="shared" si="3"/>
        <v>#N/A</v>
      </c>
      <c r="AF34" s="35"/>
      <c r="AG34" s="35"/>
      <c r="AI34" s="35"/>
    </row>
    <row r="35" spans="1:35" s="60" customFormat="1" ht="13.5" customHeight="1" thickBot="1" x14ac:dyDescent="0.4">
      <c r="A35" s="73"/>
      <c r="B35" s="73"/>
      <c r="C35" s="74">
        <f>VLOOKUP(B31,Уч!$A$2:$L$26,12,FALSE)</f>
        <v>0</v>
      </c>
      <c r="D35" s="110"/>
      <c r="E35" s="43" t="s">
        <v>37</v>
      </c>
      <c r="F35" s="75" t="e">
        <f>RANK(F34,$U$19:$U$160,0)</f>
        <v>#N/A</v>
      </c>
      <c r="G35" s="76" t="e">
        <f>RANK(G34,$V$19:$V$160,0)</f>
        <v>#N/A</v>
      </c>
      <c r="H35" s="76" t="e">
        <f>RANK(H34,$W$19:$W$160,0)</f>
        <v>#N/A</v>
      </c>
      <c r="I35" s="76" t="e">
        <f>RANK(I34,$X$19:$X$160,0)</f>
        <v>#N/A</v>
      </c>
      <c r="J35" s="76" t="e">
        <f>RANK(J34,$Y$19:$Y$160,0)</f>
        <v>#N/A</v>
      </c>
      <c r="K35" s="76" t="e">
        <f>RANK(K34,$Z$19:$Z$160,0)</f>
        <v>#N/A</v>
      </c>
      <c r="L35" s="76" t="e">
        <f>RANK(L34,$AA$19:$AA$160,0)</f>
        <v>#N/A</v>
      </c>
      <c r="M35" s="76" t="e">
        <f>RANK(M34,$AB$19:$AB$150,0)</f>
        <v>#N/A</v>
      </c>
      <c r="N35" s="76" t="e">
        <f>RANK(N34,$AC$19:$AC$160,0)</f>
        <v>#N/A</v>
      </c>
      <c r="O35" s="76" t="e">
        <f>RANK(O34,$AD$19:$AD$160,0)</f>
        <v>#N/A</v>
      </c>
      <c r="P35" s="98"/>
      <c r="Q35" s="50"/>
      <c r="R35" s="77"/>
      <c r="S35" s="31" t="e">
        <f>$A31</f>
        <v>#N/A</v>
      </c>
      <c r="T35" s="31">
        <v>5</v>
      </c>
      <c r="U35" s="83"/>
      <c r="V35" s="78"/>
      <c r="W35" s="78"/>
      <c r="X35" s="78"/>
      <c r="Y35" s="78"/>
      <c r="Z35" s="78"/>
      <c r="AA35" s="78"/>
      <c r="AB35" s="79"/>
      <c r="AC35" s="79"/>
      <c r="AD35" s="79"/>
      <c r="AF35" s="35"/>
      <c r="AG35" s="35"/>
      <c r="AI35" s="35"/>
    </row>
    <row r="36" spans="1:35" s="60" customFormat="1" ht="13.5" customHeight="1" thickTop="1" x14ac:dyDescent="0.35">
      <c r="A36" s="35" t="e">
        <f>RANK(P36,$P$16:$P$160,0)</f>
        <v>#N/A</v>
      </c>
      <c r="B36" s="35">
        <v>18</v>
      </c>
      <c r="C36" s="60" t="e">
        <f>VLOOKUP(B36,Уч!$A$2:$L$26,2,FALSE)</f>
        <v>#N/A</v>
      </c>
      <c r="D36" s="107" t="e">
        <f>VLOOKUP(B36,Уч!$A$2:$L$26,3,FALSE)</f>
        <v>#N/A</v>
      </c>
      <c r="E36" s="33" t="s">
        <v>28</v>
      </c>
      <c r="F36" s="61" t="e">
        <f>VLOOKUP($B36,'100 м 1'!$C$18:$I$86,5,FALSE)</f>
        <v>#N/A</v>
      </c>
      <c r="G36" s="62" t="e">
        <f>VLOOKUP($B36,'длина 2 '!$C$16:$O$54,11,FALSE)</f>
        <v>#N/A</v>
      </c>
      <c r="H36" s="62" t="e">
        <f>VLOOKUP($B36,'ядро 2'!$C$16:$K$60,8,FALSE)</f>
        <v>#N/A</v>
      </c>
      <c r="I36" s="62" t="e">
        <f>VLOOKUP($B36,'высота 2'!$C$16:$AF$57,13,FALSE)</f>
        <v>#N/A</v>
      </c>
      <c r="J36" s="62" t="e">
        <f>VLOOKUP($B36,'4_р'!$C$17:$H$73,5,FALSE)</f>
        <v>#N/A</v>
      </c>
      <c r="K36" s="62" t="e">
        <f>VLOOKUP($B36,'1cб_р'!$C$17:$I$63,5,FALSE)</f>
        <v>#N/A</v>
      </c>
      <c r="L36" s="62" t="e">
        <f>VLOOKUP($B36,Дс_р!$C$16:$K$70,8,FALSE)</f>
        <v>#N/A</v>
      </c>
      <c r="M36" s="62" t="e">
        <f>VLOOKUP($B36,Ш_р!$C$15:$AF$69,17,FALSE)</f>
        <v>#N/A</v>
      </c>
      <c r="N36" s="62" t="e">
        <f>VLOOKUP($B36,К_р!$C$15:$K$68,8,FALSE)</f>
        <v>#N/A</v>
      </c>
      <c r="O36" s="70" t="e">
        <f>VLOOKUP($B36,'15_р'!$C$17:$H$86,5,FALSE)</f>
        <v>#N/A</v>
      </c>
      <c r="P36" s="97" t="e">
        <f>SUM(F38:O38)</f>
        <v>#N/A</v>
      </c>
      <c r="Q36" s="35" t="e">
        <f>LOOKUP(P36,$V$1:$V$7,$W$1:$W$7)</f>
        <v>#N/A</v>
      </c>
      <c r="R36" s="35"/>
      <c r="S36" s="31" t="e">
        <f>$A36</f>
        <v>#N/A</v>
      </c>
      <c r="T36" s="31">
        <v>1</v>
      </c>
      <c r="U36" s="83"/>
      <c r="V36" s="78"/>
      <c r="W36" s="78"/>
      <c r="X36" s="78"/>
      <c r="Y36" s="78"/>
      <c r="Z36" s="78"/>
      <c r="AA36" s="78"/>
      <c r="AB36" s="79"/>
      <c r="AC36" s="79"/>
      <c r="AD36" s="79"/>
      <c r="AF36" s="35"/>
      <c r="AG36" s="35"/>
      <c r="AI36" s="35"/>
    </row>
    <row r="37" spans="1:35" s="60" customFormat="1" ht="13.5" customHeight="1" x14ac:dyDescent="0.35">
      <c r="A37" s="35"/>
      <c r="B37" s="35"/>
      <c r="C37" s="66" t="e">
        <f>VLOOKUP(B36,Уч!$A$2:$L$26,5,FALSE)</f>
        <v>#N/A</v>
      </c>
      <c r="D37" s="109" t="e">
        <f>VLOOKUP(B36,Уч!$A$2:$L$26,4,FALSE)</f>
        <v>#N/A</v>
      </c>
      <c r="E37" s="33" t="s">
        <v>97</v>
      </c>
      <c r="F37" s="68" t="e">
        <f>VLOOKUP($B36,'100 м 1'!$C$18:$I$86,6,FALSE)</f>
        <v>#N/A</v>
      </c>
      <c r="G37" s="69" t="e">
        <f>VLOOKUP($B36,'длина 2 '!$C$16:$O$54,12,FALSE)</f>
        <v>#N/A</v>
      </c>
      <c r="H37" s="70"/>
      <c r="I37" s="69"/>
      <c r="J37" s="69"/>
      <c r="K37" s="69" t="e">
        <f>VLOOKUP($B36,'1cб_р'!$C$17:$I$63,6,FALSE)</f>
        <v>#N/A</v>
      </c>
      <c r="L37" s="69"/>
      <c r="M37" s="69"/>
      <c r="N37" s="70"/>
      <c r="O37" s="70"/>
      <c r="P37" s="97"/>
      <c r="Q37" s="34"/>
      <c r="R37" s="63"/>
      <c r="S37" s="31" t="e">
        <f>$A36</f>
        <v>#N/A</v>
      </c>
      <c r="T37" s="31">
        <v>2</v>
      </c>
      <c r="U37" s="83"/>
      <c r="V37" s="78"/>
      <c r="W37" s="78"/>
      <c r="X37" s="78"/>
      <c r="Y37" s="78"/>
      <c r="Z37" s="78"/>
      <c r="AA37" s="78"/>
      <c r="AB37" s="79"/>
      <c r="AC37" s="79"/>
      <c r="AD37" s="79"/>
      <c r="AF37" s="35"/>
      <c r="AG37" s="35"/>
      <c r="AI37" s="35"/>
    </row>
    <row r="38" spans="1:35" s="60" customFormat="1" ht="13.5" customHeight="1" x14ac:dyDescent="0.35">
      <c r="A38" s="35"/>
      <c r="B38" s="35"/>
      <c r="C38" s="67" t="e">
        <f>VLOOKUP(B36,Уч!$A$2:$L$26,7)</f>
        <v>#N/A</v>
      </c>
      <c r="D38" s="109"/>
      <c r="E38" s="33" t="s">
        <v>77</v>
      </c>
      <c r="F38" s="72" t="e">
        <f>VLOOKUP($B36,'100 м 1'!$C$18:$I$86,7,FALSE)</f>
        <v>#N/A</v>
      </c>
      <c r="G38" s="70" t="e">
        <f>VLOOKUP($B36,'длина 2 '!$C$16:$O$54,13,FALSE)</f>
        <v>#N/A</v>
      </c>
      <c r="H38" s="70" t="e">
        <f>VLOOKUP($B36,'ядро 2'!$C$16:$K$60,9,FALSE)</f>
        <v>#N/A</v>
      </c>
      <c r="I38" s="70" t="e">
        <f>VLOOKUP($B36,'высота 2'!$C$16:$AF$57,14,FALSE)</f>
        <v>#N/A</v>
      </c>
      <c r="J38" s="70" t="e">
        <f>VLOOKUP($B36,'4_р'!$C$17:$H$73,6,FALSE)</f>
        <v>#N/A</v>
      </c>
      <c r="K38" s="70" t="e">
        <f>VLOOKUP($B36,'1cб_р'!$C$17:$I$63,7,FALSE)</f>
        <v>#N/A</v>
      </c>
      <c r="L38" s="70" t="e">
        <f>VLOOKUP($B36,Дс_р!$C$16:$K$70,9,FALSE)</f>
        <v>#N/A</v>
      </c>
      <c r="M38" s="70" t="e">
        <f>VLOOKUP($B36,Ш_р!$C$15:$AF$69,18,FALSE)</f>
        <v>#N/A</v>
      </c>
      <c r="N38" s="70" t="e">
        <f>VLOOKUP($B36,К_р!$C$15:$K$68,9,FALSE)</f>
        <v>#N/A</v>
      </c>
      <c r="O38" s="70" t="e">
        <f>VLOOKUP($B36,'15_р'!$C$17:$H$86,6,FALSE)</f>
        <v>#N/A</v>
      </c>
      <c r="P38" s="97"/>
      <c r="Q38" s="34"/>
      <c r="R38" s="63"/>
      <c r="S38" s="31" t="e">
        <f>$A36</f>
        <v>#N/A</v>
      </c>
      <c r="T38" s="31">
        <v>3</v>
      </c>
      <c r="U38" s="83"/>
      <c r="V38" s="78"/>
      <c r="W38" s="78"/>
      <c r="X38" s="78"/>
      <c r="Y38" s="78"/>
      <c r="Z38" s="78"/>
      <c r="AA38" s="78"/>
      <c r="AB38" s="79"/>
      <c r="AC38" s="79"/>
      <c r="AD38" s="79"/>
      <c r="AF38" s="35"/>
      <c r="AG38" s="35"/>
      <c r="AI38" s="35"/>
    </row>
    <row r="39" spans="1:35" s="60" customFormat="1" ht="13.5" customHeight="1" x14ac:dyDescent="0.35">
      <c r="A39" s="35"/>
      <c r="B39" s="35"/>
      <c r="C39" s="66" t="e">
        <f>VLOOKUP(B36,Уч!$A$2:$L$26,11,FALSE)</f>
        <v>#N/A</v>
      </c>
      <c r="D39" s="109"/>
      <c r="E39" s="33" t="s">
        <v>98</v>
      </c>
      <c r="F39" s="72" t="e">
        <f>F38</f>
        <v>#N/A</v>
      </c>
      <c r="G39" s="70" t="e">
        <f>F39+G38</f>
        <v>#N/A</v>
      </c>
      <c r="H39" s="70" t="e">
        <f>G39+H38</f>
        <v>#N/A</v>
      </c>
      <c r="I39" s="70" t="e">
        <f>H39+I38</f>
        <v>#N/A</v>
      </c>
      <c r="J39" s="70" t="e">
        <f>SUM($F38:J38)</f>
        <v>#N/A</v>
      </c>
      <c r="K39" s="70" t="e">
        <f>SUM($F38:$K38)</f>
        <v>#N/A</v>
      </c>
      <c r="L39" s="70" t="e">
        <f>K39+L38</f>
        <v>#N/A</v>
      </c>
      <c r="M39" s="70" t="e">
        <f>L39+M38</f>
        <v>#N/A</v>
      </c>
      <c r="N39" s="70" t="e">
        <f>SUM($F38:$N38)</f>
        <v>#N/A</v>
      </c>
      <c r="O39" s="70" t="e">
        <f>SUM($F38:$O38)</f>
        <v>#N/A</v>
      </c>
      <c r="P39" s="97"/>
      <c r="Q39" s="34"/>
      <c r="R39" s="63"/>
      <c r="S39" s="31" t="e">
        <f>$A36</f>
        <v>#N/A</v>
      </c>
      <c r="T39" s="31">
        <v>4</v>
      </c>
      <c r="U39" s="63" t="e">
        <f t="shared" ref="U39:AD39" si="4">F39</f>
        <v>#N/A</v>
      </c>
      <c r="V39" s="63" t="e">
        <f t="shared" si="4"/>
        <v>#N/A</v>
      </c>
      <c r="W39" s="63" t="e">
        <f t="shared" si="4"/>
        <v>#N/A</v>
      </c>
      <c r="X39" s="63" t="e">
        <f t="shared" si="4"/>
        <v>#N/A</v>
      </c>
      <c r="Y39" s="63" t="e">
        <f t="shared" si="4"/>
        <v>#N/A</v>
      </c>
      <c r="Z39" s="63" t="e">
        <f t="shared" si="4"/>
        <v>#N/A</v>
      </c>
      <c r="AA39" s="63" t="e">
        <f t="shared" si="4"/>
        <v>#N/A</v>
      </c>
      <c r="AB39" s="63" t="e">
        <f t="shared" si="4"/>
        <v>#N/A</v>
      </c>
      <c r="AC39" s="63" t="e">
        <f t="shared" si="4"/>
        <v>#N/A</v>
      </c>
      <c r="AD39" s="63" t="e">
        <f t="shared" si="4"/>
        <v>#N/A</v>
      </c>
      <c r="AF39" s="35"/>
      <c r="AG39" s="35"/>
      <c r="AI39" s="35"/>
    </row>
    <row r="40" spans="1:35" s="60" customFormat="1" ht="13.5" customHeight="1" thickBot="1" x14ac:dyDescent="0.4">
      <c r="A40" s="73"/>
      <c r="B40" s="73"/>
      <c r="C40" s="74" t="e">
        <f>VLOOKUP(B36,Уч!$A$2:$L$26,12,FALSE)</f>
        <v>#N/A</v>
      </c>
      <c r="D40" s="110"/>
      <c r="E40" s="43" t="s">
        <v>37</v>
      </c>
      <c r="F40" s="75" t="e">
        <f>RANK(F39,$U$19:$U$160,0)</f>
        <v>#N/A</v>
      </c>
      <c r="G40" s="76" t="e">
        <f>RANK(G39,$V$19:$V$160,0)</f>
        <v>#N/A</v>
      </c>
      <c r="H40" s="76" t="e">
        <f>RANK(H39,$W$19:$W$160,0)</f>
        <v>#N/A</v>
      </c>
      <c r="I40" s="76" t="e">
        <f>RANK(I39,$X$19:$X$160,0)</f>
        <v>#N/A</v>
      </c>
      <c r="J40" s="76" t="e">
        <f>RANK(J39,$Y$19:$Y$160,0)</f>
        <v>#N/A</v>
      </c>
      <c r="K40" s="76" t="e">
        <f>RANK(K39,$Z$19:$Z$160,0)</f>
        <v>#N/A</v>
      </c>
      <c r="L40" s="76" t="e">
        <f>RANK(L39,$AA$19:$AA$160,0)</f>
        <v>#N/A</v>
      </c>
      <c r="M40" s="76" t="e">
        <f>RANK(M39,$AB$19:$AB$150,0)</f>
        <v>#N/A</v>
      </c>
      <c r="N40" s="76" t="e">
        <f>RANK(N39,$AC$19:$AC$160,0)</f>
        <v>#N/A</v>
      </c>
      <c r="O40" s="76" t="e">
        <f>RANK(O39,$AD$19:$AD$160,0)</f>
        <v>#N/A</v>
      </c>
      <c r="P40" s="98"/>
      <c r="Q40" s="81"/>
      <c r="R40" s="77"/>
      <c r="S40" s="31" t="e">
        <f>$A36</f>
        <v>#N/A</v>
      </c>
      <c r="T40" s="31">
        <v>5</v>
      </c>
      <c r="U40" s="83"/>
      <c r="V40" s="78"/>
      <c r="W40" s="78"/>
      <c r="X40" s="78"/>
      <c r="Y40" s="78"/>
      <c r="Z40" s="78"/>
      <c r="AA40" s="78"/>
      <c r="AB40" s="79"/>
      <c r="AC40" s="79"/>
      <c r="AD40" s="79"/>
      <c r="AF40" s="35"/>
      <c r="AG40" s="35"/>
      <c r="AI40" s="35"/>
    </row>
    <row r="41" spans="1:35" s="60" customFormat="1" ht="13.5" customHeight="1" thickTop="1" x14ac:dyDescent="0.35">
      <c r="A41" s="35" t="e">
        <f>RANK(P41,$P$16:$P$160,0)</f>
        <v>#N/A</v>
      </c>
      <c r="B41" s="35">
        <v>16</v>
      </c>
      <c r="C41" s="60" t="e">
        <f>VLOOKUP(B41,Уч!$A$2:$L$26,2,FALSE)</f>
        <v>#N/A</v>
      </c>
      <c r="D41" s="107">
        <v>32964</v>
      </c>
      <c r="E41" s="33" t="s">
        <v>28</v>
      </c>
      <c r="F41" s="61" t="e">
        <f>VLOOKUP($B41,'100 м 1'!$C$18:$I$86,5,FALSE)</f>
        <v>#N/A</v>
      </c>
      <c r="G41" s="62" t="e">
        <f>VLOOKUP($B41,'длина 2 '!$C$16:$O$54,11,FALSE)</f>
        <v>#N/A</v>
      </c>
      <c r="H41" s="62" t="e">
        <f>VLOOKUP($B41,'ядро 2'!$C$16:$K$60,8,FALSE)</f>
        <v>#N/A</v>
      </c>
      <c r="I41" s="62" t="e">
        <f>VLOOKUP($B41,'высота 2'!$C$16:$AF$57,13,FALSE)</f>
        <v>#N/A</v>
      </c>
      <c r="J41" s="62" t="e">
        <f>VLOOKUP($B41,'4_р'!$C$17:$H$73,5,FALSE)</f>
        <v>#N/A</v>
      </c>
      <c r="K41" s="62" t="e">
        <f>VLOOKUP($B41,'1cб_р'!$C$17:$I$63,5,FALSE)</f>
        <v>#N/A</v>
      </c>
      <c r="L41" s="62" t="e">
        <f>VLOOKUP($B41,Дс_р!$C$16:$K$70,8,FALSE)</f>
        <v>#N/A</v>
      </c>
      <c r="M41" s="62">
        <f>VLOOKUP($B41,Ш_р!$C$15:$AF$69,17,FALSE)</f>
        <v>0</v>
      </c>
      <c r="N41" s="62" t="e">
        <f>VLOOKUP($B41,К_р!$C$15:$K$68,8,FALSE)</f>
        <v>#N/A</v>
      </c>
      <c r="O41" s="70" t="e">
        <f>VLOOKUP($B41,'15_р'!$C$17:$H$86,5,FALSE)</f>
        <v>#N/A</v>
      </c>
      <c r="P41" s="97" t="e">
        <f>SUM(F43:O43)</f>
        <v>#N/A</v>
      </c>
      <c r="Q41" s="35" t="e">
        <f>LOOKUP(P41,$V$1:$V$7,$W$1:$W$7)</f>
        <v>#N/A</v>
      </c>
      <c r="R41" s="35"/>
      <c r="S41" s="31" t="e">
        <f>$A41</f>
        <v>#N/A</v>
      </c>
      <c r="T41" s="31">
        <v>1</v>
      </c>
      <c r="U41" s="83"/>
      <c r="V41" s="78"/>
      <c r="W41" s="78"/>
      <c r="X41" s="78"/>
      <c r="Y41" s="78"/>
      <c r="Z41" s="78"/>
      <c r="AA41" s="78"/>
      <c r="AB41" s="79"/>
      <c r="AC41" s="79"/>
      <c r="AD41" s="79"/>
      <c r="AF41" s="35"/>
      <c r="AG41" s="35"/>
      <c r="AI41" s="35"/>
    </row>
    <row r="42" spans="1:35" s="60" customFormat="1" ht="13.5" customHeight="1" x14ac:dyDescent="0.35">
      <c r="A42" s="35"/>
      <c r="B42" s="35"/>
      <c r="C42" s="66" t="e">
        <f>VLOOKUP(B41,Уч!$A$2:$L$26,5,FALSE)</f>
        <v>#N/A</v>
      </c>
      <c r="D42" s="109" t="e">
        <f>VLOOKUP(B41,Уч!$A$2:$L$26,4,FALSE)</f>
        <v>#N/A</v>
      </c>
      <c r="E42" s="33" t="s">
        <v>97</v>
      </c>
      <c r="F42" s="68" t="e">
        <f>VLOOKUP($B41,'100 м 1'!$C$18:$I$86,6,FALSE)</f>
        <v>#N/A</v>
      </c>
      <c r="G42" s="69" t="e">
        <f>VLOOKUP($B41,'длина 2 '!$C$16:$O$54,12,FALSE)</f>
        <v>#N/A</v>
      </c>
      <c r="H42" s="70"/>
      <c r="I42" s="69"/>
      <c r="J42" s="69"/>
      <c r="K42" s="69" t="e">
        <f>VLOOKUP($B41,'1cб_р'!$C$17:$I$63,6,FALSE)</f>
        <v>#N/A</v>
      </c>
      <c r="L42" s="69"/>
      <c r="M42" s="69"/>
      <c r="N42" s="70"/>
      <c r="O42" s="70"/>
      <c r="P42" s="97"/>
      <c r="Q42" s="63"/>
      <c r="R42" s="63"/>
      <c r="S42" s="31" t="e">
        <f>$A41</f>
        <v>#N/A</v>
      </c>
      <c r="T42" s="31">
        <v>2</v>
      </c>
      <c r="U42" s="83"/>
      <c r="V42" s="78"/>
      <c r="W42" s="78"/>
      <c r="X42" s="78"/>
      <c r="Y42" s="78"/>
      <c r="Z42" s="78"/>
      <c r="AA42" s="78"/>
      <c r="AB42" s="79"/>
      <c r="AC42" s="79"/>
      <c r="AD42" s="79"/>
      <c r="AF42" s="35"/>
      <c r="AG42" s="35"/>
      <c r="AI42" s="35"/>
    </row>
    <row r="43" spans="1:35" s="60" customFormat="1" ht="13.5" customHeight="1" x14ac:dyDescent="0.35">
      <c r="A43" s="35"/>
      <c r="B43" s="35"/>
      <c r="C43" s="67" t="e">
        <f>VLOOKUP(B41,Уч!$A$2:$L$26,7)</f>
        <v>#N/A</v>
      </c>
      <c r="D43" s="109"/>
      <c r="E43" s="33" t="s">
        <v>77</v>
      </c>
      <c r="F43" s="72" t="e">
        <f>VLOOKUP($B41,'100 м 1'!$C$18:$I$86,7,FALSE)</f>
        <v>#N/A</v>
      </c>
      <c r="G43" s="70" t="e">
        <f>VLOOKUP($B41,'длина 2 '!$C$16:$O$54,13,FALSE)</f>
        <v>#N/A</v>
      </c>
      <c r="H43" s="70" t="e">
        <f>VLOOKUP($B41,'ядро 2'!$C$16:$K$60,9,FALSE)</f>
        <v>#N/A</v>
      </c>
      <c r="I43" s="70" t="e">
        <f>VLOOKUP($B41,'высота 2'!$C$16:$AF$57,14,FALSE)</f>
        <v>#N/A</v>
      </c>
      <c r="J43" s="70" t="e">
        <f>VLOOKUP($B41,'4_р'!$C$17:$H$73,6,FALSE)</f>
        <v>#N/A</v>
      </c>
      <c r="K43" s="70" t="e">
        <f>VLOOKUP($B41,'1cб_р'!$C$17:$I$63,7,FALSE)</f>
        <v>#N/A</v>
      </c>
      <c r="L43" s="70" t="e">
        <f>VLOOKUP($B41,Дс_р!$C$16:$K$70,9,FALSE)</f>
        <v>#N/A</v>
      </c>
      <c r="M43" s="70">
        <f>VLOOKUP($B41,Ш_р!$C$15:$AF$69,18,FALSE)</f>
        <v>0</v>
      </c>
      <c r="N43" s="70" t="e">
        <f>VLOOKUP($B41,К_р!$C$15:$K$68,9,FALSE)</f>
        <v>#N/A</v>
      </c>
      <c r="O43" s="70" t="e">
        <f>VLOOKUP($B41,'15_р'!$C$17:$H$86,6,FALSE)</f>
        <v>#N/A</v>
      </c>
      <c r="P43" s="97"/>
      <c r="Q43" s="63"/>
      <c r="R43" s="63"/>
      <c r="S43" s="31" t="e">
        <f>$A41</f>
        <v>#N/A</v>
      </c>
      <c r="T43" s="31">
        <v>3</v>
      </c>
      <c r="U43" s="83"/>
      <c r="V43" s="78"/>
      <c r="W43" s="78"/>
      <c r="X43" s="78"/>
      <c r="Y43" s="78"/>
      <c r="Z43" s="78"/>
      <c r="AA43" s="78"/>
      <c r="AB43" s="79"/>
      <c r="AC43" s="79"/>
      <c r="AD43" s="79"/>
      <c r="AF43" s="35"/>
      <c r="AG43" s="35"/>
      <c r="AI43" s="35"/>
    </row>
    <row r="44" spans="1:35" s="60" customFormat="1" ht="13.5" customHeight="1" x14ac:dyDescent="0.35">
      <c r="A44" s="35"/>
      <c r="B44" s="35"/>
      <c r="C44" s="66" t="e">
        <f>VLOOKUP(B41,Уч!$A$2:$L$26,11,FALSE)</f>
        <v>#N/A</v>
      </c>
      <c r="D44" s="109"/>
      <c r="E44" s="33" t="s">
        <v>98</v>
      </c>
      <c r="F44" s="72" t="e">
        <f>F43</f>
        <v>#N/A</v>
      </c>
      <c r="G44" s="70" t="e">
        <f>F44+G43</f>
        <v>#N/A</v>
      </c>
      <c r="H44" s="70" t="e">
        <f>G44+H43</f>
        <v>#N/A</v>
      </c>
      <c r="I44" s="70" t="e">
        <f>H44+I43</f>
        <v>#N/A</v>
      </c>
      <c r="J44" s="70" t="e">
        <f>SUM($F43:J43)</f>
        <v>#N/A</v>
      </c>
      <c r="K44" s="70" t="e">
        <f>SUM($F43:$K43)</f>
        <v>#N/A</v>
      </c>
      <c r="L44" s="70" t="e">
        <f>K44+L43</f>
        <v>#N/A</v>
      </c>
      <c r="M44" s="70" t="e">
        <f>L44+M43</f>
        <v>#N/A</v>
      </c>
      <c r="N44" s="70" t="e">
        <f>SUM($F43:$N43)</f>
        <v>#N/A</v>
      </c>
      <c r="O44" s="70" t="e">
        <f>SUM($F43:$O43)</f>
        <v>#N/A</v>
      </c>
      <c r="P44" s="97"/>
      <c r="Q44" s="63"/>
      <c r="R44" s="63"/>
      <c r="S44" s="31" t="e">
        <f>$A41</f>
        <v>#N/A</v>
      </c>
      <c r="T44" s="31">
        <v>4</v>
      </c>
      <c r="U44" s="63" t="e">
        <f t="shared" ref="U44:AD44" si="5">F44</f>
        <v>#N/A</v>
      </c>
      <c r="V44" s="63" t="e">
        <f t="shared" si="5"/>
        <v>#N/A</v>
      </c>
      <c r="W44" s="63" t="e">
        <f t="shared" si="5"/>
        <v>#N/A</v>
      </c>
      <c r="X44" s="63" t="e">
        <f t="shared" si="5"/>
        <v>#N/A</v>
      </c>
      <c r="Y44" s="63" t="e">
        <f t="shared" si="5"/>
        <v>#N/A</v>
      </c>
      <c r="Z44" s="63" t="e">
        <f t="shared" si="5"/>
        <v>#N/A</v>
      </c>
      <c r="AA44" s="63" t="e">
        <f t="shared" si="5"/>
        <v>#N/A</v>
      </c>
      <c r="AB44" s="63" t="e">
        <f t="shared" si="5"/>
        <v>#N/A</v>
      </c>
      <c r="AC44" s="63" t="e">
        <f t="shared" si="5"/>
        <v>#N/A</v>
      </c>
      <c r="AD44" s="63" t="e">
        <f t="shared" si="5"/>
        <v>#N/A</v>
      </c>
      <c r="AF44" s="35"/>
      <c r="AG44" s="35"/>
      <c r="AI44" s="35"/>
    </row>
    <row r="45" spans="1:35" s="60" customFormat="1" ht="13.5" customHeight="1" thickBot="1" x14ac:dyDescent="0.4">
      <c r="A45" s="73"/>
      <c r="B45" s="73"/>
      <c r="C45" s="74" t="e">
        <f>VLOOKUP(B41,Уч!$A$2:$L$26,12,FALSE)</f>
        <v>#N/A</v>
      </c>
      <c r="D45" s="110"/>
      <c r="E45" s="43" t="s">
        <v>37</v>
      </c>
      <c r="F45" s="75" t="e">
        <f>RANK(F44,$U$19:$U$160,0)</f>
        <v>#N/A</v>
      </c>
      <c r="G45" s="76" t="e">
        <f>RANK(G44,$V$19:$V$160,0)</f>
        <v>#N/A</v>
      </c>
      <c r="H45" s="76" t="e">
        <f>RANK(H44,$W$19:$W$160,0)</f>
        <v>#N/A</v>
      </c>
      <c r="I45" s="76" t="e">
        <f>RANK(I44,$X$19:$X$160,0)</f>
        <v>#N/A</v>
      </c>
      <c r="J45" s="76" t="e">
        <f>RANK(J44,$Y$19:$Y$160,0)</f>
        <v>#N/A</v>
      </c>
      <c r="K45" s="76" t="e">
        <f>RANK(K44,$Z$19:$Z$160,0)</f>
        <v>#N/A</v>
      </c>
      <c r="L45" s="76" t="e">
        <f>RANK(L44,$AA$19:$AA$160,0)</f>
        <v>#N/A</v>
      </c>
      <c r="M45" s="76" t="e">
        <f>RANK(M44,$AB$19:$AB$150,0)</f>
        <v>#N/A</v>
      </c>
      <c r="N45" s="76" t="e">
        <f>RANK(N44,$AC$19:$AC$160,0)</f>
        <v>#N/A</v>
      </c>
      <c r="O45" s="76" t="e">
        <f>RANK(O44,$AD$19:$AD$160,0)</f>
        <v>#N/A</v>
      </c>
      <c r="P45" s="98"/>
      <c r="Q45" s="77"/>
      <c r="R45" s="77"/>
      <c r="S45" s="31" t="e">
        <f>$A41</f>
        <v>#N/A</v>
      </c>
      <c r="T45" s="31">
        <v>5</v>
      </c>
      <c r="U45" s="83"/>
      <c r="V45" s="78"/>
      <c r="W45" s="78"/>
      <c r="X45" s="78"/>
      <c r="Y45" s="78"/>
      <c r="Z45" s="78"/>
      <c r="AA45" s="78"/>
      <c r="AB45" s="79"/>
      <c r="AC45" s="79"/>
      <c r="AD45" s="79"/>
      <c r="AF45" s="35"/>
      <c r="AG45" s="35"/>
      <c r="AI45" s="35"/>
    </row>
    <row r="46" spans="1:35" s="60" customFormat="1" ht="13.5" customHeight="1" thickTop="1" x14ac:dyDescent="0.35">
      <c r="A46" s="35" t="e">
        <f>RANK(P46,$P$16:$P$160,0)</f>
        <v>#N/A</v>
      </c>
      <c r="B46" s="35">
        <v>52</v>
      </c>
      <c r="C46" s="60" t="e">
        <f>VLOOKUP(B46,Уч!$A$2:$L$26,2,FALSE)</f>
        <v>#N/A</v>
      </c>
      <c r="D46" s="107" t="e">
        <f>VLOOKUP(B46,Уч!$A$2:$L$26,3,FALSE)</f>
        <v>#N/A</v>
      </c>
      <c r="E46" s="33" t="s">
        <v>28</v>
      </c>
      <c r="F46" s="61">
        <f>VLOOKUP($B46,'100 м 1'!$C$18:$I$86,5,FALSE)</f>
        <v>10.93</v>
      </c>
      <c r="G46" s="62" t="e">
        <f>VLOOKUP($B46,'длина 2 '!$C$16:$O$54,11,FALSE)</f>
        <v>#N/A</v>
      </c>
      <c r="H46" s="62" t="e">
        <f>VLOOKUP($B46,'ядро 2'!$C$16:$K$60,8,FALSE)</f>
        <v>#N/A</v>
      </c>
      <c r="I46" s="62" t="e">
        <f>VLOOKUP($B46,'высота 2'!$C$16:$AF$57,13,FALSE)</f>
        <v>#N/A</v>
      </c>
      <c r="J46" s="62">
        <f>VLOOKUP($B46,'4_р'!$C$17:$H$73,5,FALSE)</f>
        <v>0</v>
      </c>
      <c r="K46" s="62" t="e">
        <f>VLOOKUP($B46,'1cб_р'!$C$17:$I$63,5,FALSE)</f>
        <v>#N/A</v>
      </c>
      <c r="L46" s="62" t="e">
        <f>VLOOKUP($B46,Дс_р!$C$16:$K$70,8,FALSE)</f>
        <v>#N/A</v>
      </c>
      <c r="M46" s="62" t="e">
        <f>VLOOKUP($B46,Ш_р!$C$15:$AF$69,17,FALSE)</f>
        <v>#N/A</v>
      </c>
      <c r="N46" s="62" t="e">
        <f>VLOOKUP($B46,К_р!$C$15:$K$68,8,FALSE)</f>
        <v>#N/A</v>
      </c>
      <c r="O46" s="70">
        <f>VLOOKUP($B46,'15_р'!$C$17:$H$86,5,FALSE)</f>
        <v>0</v>
      </c>
      <c r="P46" s="97" t="e">
        <f>SUM(F48:O48)</f>
        <v>#N/A</v>
      </c>
      <c r="Q46" s="35" t="e">
        <f>LOOKUP(P46,$V$1:$V$7,$W$1:$W$7)</f>
        <v>#N/A</v>
      </c>
      <c r="R46" s="35"/>
      <c r="S46" s="31" t="e">
        <f>$A46</f>
        <v>#N/A</v>
      </c>
      <c r="T46" s="31">
        <v>1</v>
      </c>
      <c r="U46" s="83"/>
      <c r="V46" s="78"/>
      <c r="W46" s="78"/>
      <c r="X46" s="78"/>
      <c r="Y46" s="78"/>
      <c r="Z46" s="78"/>
      <c r="AA46" s="78"/>
      <c r="AB46" s="79"/>
      <c r="AC46" s="79"/>
      <c r="AD46" s="79"/>
      <c r="AF46" s="35"/>
      <c r="AG46" s="35"/>
      <c r="AI46" s="35"/>
    </row>
    <row r="47" spans="1:35" s="60" customFormat="1" ht="13.5" customHeight="1" x14ac:dyDescent="0.35">
      <c r="A47" s="35"/>
      <c r="B47" s="35"/>
      <c r="C47" s="66" t="e">
        <f>VLOOKUP(B46,Уч!$A$2:$L$26,5,FALSE)</f>
        <v>#N/A</v>
      </c>
      <c r="D47" s="107" t="e">
        <f>VLOOKUP(B46,Уч!$A$2:$L$26,4,FALSE)</f>
        <v>#N/A</v>
      </c>
      <c r="E47" s="33" t="s">
        <v>97</v>
      </c>
      <c r="F47" s="68">
        <f>VLOOKUP($B46,'100 м 1'!$C$18:$I$86,6,FALSE)</f>
        <v>1</v>
      </c>
      <c r="G47" s="69" t="e">
        <f>VLOOKUP($B46,'длина 2 '!$C$16:$O$54,12,FALSE)</f>
        <v>#N/A</v>
      </c>
      <c r="H47" s="70"/>
      <c r="I47" s="69"/>
      <c r="J47" s="69"/>
      <c r="K47" s="69" t="e">
        <f>VLOOKUP($B46,'1cб_р'!$C$17:$I$63,6,FALSE)</f>
        <v>#N/A</v>
      </c>
      <c r="L47" s="69"/>
      <c r="M47" s="69"/>
      <c r="N47" s="70"/>
      <c r="O47" s="70"/>
      <c r="P47" s="97"/>
      <c r="Q47" s="80"/>
      <c r="R47" s="63"/>
      <c r="S47" s="31" t="e">
        <f>$A46</f>
        <v>#N/A</v>
      </c>
      <c r="T47" s="31">
        <v>2</v>
      </c>
      <c r="U47" s="83"/>
      <c r="V47" s="78"/>
      <c r="W47" s="78"/>
      <c r="X47" s="78"/>
      <c r="Y47" s="78"/>
      <c r="Z47" s="78"/>
      <c r="AA47" s="78"/>
      <c r="AB47" s="79"/>
      <c r="AC47" s="79"/>
      <c r="AD47" s="79"/>
      <c r="AF47" s="35"/>
      <c r="AG47" s="35"/>
      <c r="AI47" s="35"/>
    </row>
    <row r="48" spans="1:35" s="60" customFormat="1" ht="13.5" customHeight="1" x14ac:dyDescent="0.35">
      <c r="A48" s="35"/>
      <c r="B48" s="35"/>
      <c r="C48" s="67" t="e">
        <f>VLOOKUP(B46,Уч!$A$2:$L$26,7,FALSE)</f>
        <v>#N/A</v>
      </c>
      <c r="D48" s="107"/>
      <c r="E48" s="33" t="s">
        <v>77</v>
      </c>
      <c r="F48" s="72">
        <f>VLOOKUP($B46,'100 м 1'!$C$18:$I$86,7,FALSE)</f>
        <v>876</v>
      </c>
      <c r="G48" s="70" t="e">
        <f>VLOOKUP($B46,'длина 2 '!$C$16:$O$54,13,FALSE)</f>
        <v>#N/A</v>
      </c>
      <c r="H48" s="70" t="e">
        <f>VLOOKUP($B46,'ядро 2'!$C$16:$K$60,9,FALSE)</f>
        <v>#N/A</v>
      </c>
      <c r="I48" s="70" t="e">
        <f>VLOOKUP($B46,'высота 2'!$C$16:$AF$57,14,FALSE)</f>
        <v>#N/A</v>
      </c>
      <c r="J48" s="70">
        <f>VLOOKUP($B46,'4_р'!$C$17:$H$73,6,FALSE)</f>
        <v>0</v>
      </c>
      <c r="K48" s="70" t="e">
        <f>VLOOKUP($B46,'1cб_р'!$C$17:$I$63,7,FALSE)</f>
        <v>#N/A</v>
      </c>
      <c r="L48" s="70" t="e">
        <f>VLOOKUP($B46,Дс_р!$C$16:$K$70,9,FALSE)</f>
        <v>#N/A</v>
      </c>
      <c r="M48" s="70" t="e">
        <f>VLOOKUP($B46,Ш_р!$C$15:$AF$69,18,FALSE)</f>
        <v>#N/A</v>
      </c>
      <c r="N48" s="70" t="e">
        <f>VLOOKUP($B46,К_р!$C$15:$K$68,9,FALSE)</f>
        <v>#N/A</v>
      </c>
      <c r="O48" s="70">
        <f>VLOOKUP($B46,'15_р'!$C$17:$H$86,6,FALSE)</f>
        <v>0</v>
      </c>
      <c r="P48" s="97"/>
      <c r="Q48" s="80"/>
      <c r="R48" s="63"/>
      <c r="S48" s="31" t="e">
        <f>$A46</f>
        <v>#N/A</v>
      </c>
      <c r="T48" s="31">
        <v>3</v>
      </c>
      <c r="U48" s="83"/>
      <c r="V48" s="78"/>
      <c r="W48" s="78"/>
      <c r="X48" s="78"/>
      <c r="Y48" s="78"/>
      <c r="Z48" s="78"/>
      <c r="AA48" s="78"/>
      <c r="AB48" s="79"/>
      <c r="AC48" s="79"/>
      <c r="AD48" s="79"/>
      <c r="AF48" s="35"/>
      <c r="AG48" s="35"/>
      <c r="AI48" s="35"/>
    </row>
    <row r="49" spans="1:39" s="60" customFormat="1" ht="13.5" customHeight="1" x14ac:dyDescent="0.35">
      <c r="A49" s="35"/>
      <c r="B49" s="35"/>
      <c r="C49" s="66" t="e">
        <f>VLOOKUP(B46,Уч!$A$2:$L$26,11,FALSE)</f>
        <v>#N/A</v>
      </c>
      <c r="D49" s="107"/>
      <c r="E49" s="33" t="s">
        <v>98</v>
      </c>
      <c r="F49" s="72">
        <f>F48</f>
        <v>876</v>
      </c>
      <c r="G49" s="70" t="e">
        <f>F49+G48</f>
        <v>#N/A</v>
      </c>
      <c r="H49" s="70" t="e">
        <f>G49+H48</f>
        <v>#N/A</v>
      </c>
      <c r="I49" s="70" t="e">
        <f>H49+I48</f>
        <v>#N/A</v>
      </c>
      <c r="J49" s="70" t="e">
        <f>SUM($F48:J48)</f>
        <v>#N/A</v>
      </c>
      <c r="K49" s="70" t="e">
        <f>SUM($F48:$K48)</f>
        <v>#N/A</v>
      </c>
      <c r="L49" s="70" t="e">
        <f>K49+L48</f>
        <v>#N/A</v>
      </c>
      <c r="M49" s="70" t="e">
        <f>L49+M48</f>
        <v>#N/A</v>
      </c>
      <c r="N49" s="70" t="e">
        <f>SUM($F48:$N48)</f>
        <v>#N/A</v>
      </c>
      <c r="O49" s="70" t="e">
        <f>SUM($F48:$O48)</f>
        <v>#N/A</v>
      </c>
      <c r="P49" s="97"/>
      <c r="Q49" s="80"/>
      <c r="R49" s="63"/>
      <c r="S49" s="31" t="e">
        <f>$A46</f>
        <v>#N/A</v>
      </c>
      <c r="T49" s="31">
        <v>4</v>
      </c>
      <c r="U49" s="63">
        <f t="shared" ref="U49:AD49" si="6">F49</f>
        <v>876</v>
      </c>
      <c r="V49" s="63" t="e">
        <f t="shared" si="6"/>
        <v>#N/A</v>
      </c>
      <c r="W49" s="63" t="e">
        <f t="shared" si="6"/>
        <v>#N/A</v>
      </c>
      <c r="X49" s="63" t="e">
        <f t="shared" si="6"/>
        <v>#N/A</v>
      </c>
      <c r="Y49" s="63" t="e">
        <f t="shared" si="6"/>
        <v>#N/A</v>
      </c>
      <c r="Z49" s="63" t="e">
        <f t="shared" si="6"/>
        <v>#N/A</v>
      </c>
      <c r="AA49" s="63" t="e">
        <f t="shared" si="6"/>
        <v>#N/A</v>
      </c>
      <c r="AB49" s="63" t="e">
        <f t="shared" si="6"/>
        <v>#N/A</v>
      </c>
      <c r="AC49" s="63" t="e">
        <f t="shared" si="6"/>
        <v>#N/A</v>
      </c>
      <c r="AD49" s="63" t="e">
        <f t="shared" si="6"/>
        <v>#N/A</v>
      </c>
      <c r="AF49" s="35"/>
      <c r="AG49" s="35"/>
      <c r="AI49" s="35"/>
    </row>
    <row r="50" spans="1:39" s="60" customFormat="1" ht="13.5" customHeight="1" thickBot="1" x14ac:dyDescent="0.4">
      <c r="A50" s="73"/>
      <c r="B50" s="73"/>
      <c r="C50" s="74" t="e">
        <f>VLOOKUP(B46,Уч!$A$2:$L$26,12,FALSE)</f>
        <v>#N/A</v>
      </c>
      <c r="D50" s="108"/>
      <c r="E50" s="43" t="s">
        <v>37</v>
      </c>
      <c r="F50" s="75" t="e">
        <f>RANK(F49,$U$19:$U$160,0)</f>
        <v>#N/A</v>
      </c>
      <c r="G50" s="76" t="e">
        <f>RANK(G49,$V$19:$V$160,0)</f>
        <v>#N/A</v>
      </c>
      <c r="H50" s="76" t="e">
        <f>RANK(H49,$W$19:$W$160,0)</f>
        <v>#N/A</v>
      </c>
      <c r="I50" s="76" t="e">
        <f>RANK(I49,$X$19:$X$160,0)</f>
        <v>#N/A</v>
      </c>
      <c r="J50" s="76" t="e">
        <f>RANK(J49,$Y$19:$Y$160,0)</f>
        <v>#N/A</v>
      </c>
      <c r="K50" s="76" t="e">
        <f>RANK(K49,$Z$19:$Z$160,0)</f>
        <v>#N/A</v>
      </c>
      <c r="L50" s="76" t="e">
        <f>RANK(L49,$AA$19:$AA$160,0)</f>
        <v>#N/A</v>
      </c>
      <c r="M50" s="76" t="e">
        <f>RANK(M49,$AB$19:$AB$150,0)</f>
        <v>#N/A</v>
      </c>
      <c r="N50" s="76" t="e">
        <f>RANK(N49,$AC$19:$AC$160,0)</f>
        <v>#N/A</v>
      </c>
      <c r="O50" s="76" t="e">
        <f>RANK(O49,$AD$19:$AD$160,0)</f>
        <v>#N/A</v>
      </c>
      <c r="P50" s="98"/>
      <c r="Q50" s="81"/>
      <c r="R50" s="77"/>
      <c r="S50" s="31" t="e">
        <f>$A46</f>
        <v>#N/A</v>
      </c>
      <c r="T50" s="31">
        <v>5</v>
      </c>
      <c r="U50" s="83"/>
      <c r="V50" s="78"/>
      <c r="W50" s="78"/>
      <c r="X50" s="78"/>
      <c r="Y50" s="78"/>
      <c r="Z50" s="78"/>
      <c r="AA50" s="78"/>
      <c r="AB50" s="79"/>
      <c r="AC50" s="79"/>
      <c r="AD50" s="79"/>
      <c r="AF50" s="35"/>
      <c r="AG50" s="35"/>
      <c r="AI50" s="35"/>
    </row>
    <row r="51" spans="1:39" s="60" customFormat="1" ht="13.5" customHeight="1" thickTop="1" x14ac:dyDescent="0.35">
      <c r="A51" s="35" t="e">
        <f>RANK(P51,$P$16:$P$160,0)</f>
        <v>#N/A</v>
      </c>
      <c r="B51" s="35">
        <v>98</v>
      </c>
      <c r="C51" s="60" t="str">
        <f>VLOOKUP(B51,Уч!$A$2:$L$26,2,FALSE)</f>
        <v>Недригайло Данил</v>
      </c>
      <c r="D51" s="107" t="str">
        <f>VLOOKUP(B51,Уч!$A$2:$L$26,3,FALSE)</f>
        <v>21.09.1999</v>
      </c>
      <c r="E51" s="33" t="s">
        <v>28</v>
      </c>
      <c r="F51" s="61">
        <f>VLOOKUP($B51,'100 м 1'!$C$18:$I$86,5,FALSE)</f>
        <v>11.13</v>
      </c>
      <c r="G51" s="62" t="e">
        <f>VLOOKUP($B51,'длина 2 '!$C$16:$O$54,11,FALSE)</f>
        <v>#N/A</v>
      </c>
      <c r="H51" s="62" t="e">
        <f>VLOOKUP($B51,'ядро 2'!$C$16:$K$60,8,FALSE)</f>
        <v>#N/A</v>
      </c>
      <c r="I51" s="62" t="e">
        <f>VLOOKUP($B51,'высота 2'!$C$16:$AF$57,13,FALSE)</f>
        <v>#N/A</v>
      </c>
      <c r="J51" s="62" t="e">
        <f>VLOOKUP($B51,'4_р'!$C$17:$H$73,5,FALSE)</f>
        <v>#N/A</v>
      </c>
      <c r="K51" s="62" t="e">
        <f>VLOOKUP($B51,'1cб_р'!$C$17:$I$63,5,FALSE)</f>
        <v>#N/A</v>
      </c>
      <c r="L51" s="62" t="e">
        <f>VLOOKUP($B51,Дс_р!$C$16:$K$70,8,FALSE)</f>
        <v>#N/A</v>
      </c>
      <c r="M51" s="62" t="e">
        <f>VLOOKUP($B51,Ш_р!$C$15:$AF$69,17,FALSE)</f>
        <v>#N/A</v>
      </c>
      <c r="N51" s="62" t="e">
        <f>VLOOKUP($B51,К_р!$C$15:$K$68,8,FALSE)</f>
        <v>#N/A</v>
      </c>
      <c r="O51" s="70" t="e">
        <f>VLOOKUP($B51,'15_р'!$C$17:$H$86,5,FALSE)</f>
        <v>#N/A</v>
      </c>
      <c r="P51" s="97" t="e">
        <f>SUM(F53:O53)</f>
        <v>#N/A</v>
      </c>
      <c r="Q51" s="35" t="e">
        <f>LOOKUP(P51,$V$1:$V$7,$W$1:$W$7)</f>
        <v>#N/A</v>
      </c>
      <c r="R51" s="35"/>
      <c r="S51" s="31" t="e">
        <f>$A51</f>
        <v>#N/A</v>
      </c>
      <c r="T51" s="31">
        <v>1</v>
      </c>
      <c r="U51" s="83"/>
      <c r="V51" s="78"/>
      <c r="W51" s="78"/>
      <c r="X51" s="78"/>
      <c r="Y51" s="78"/>
      <c r="Z51" s="78"/>
      <c r="AA51" s="78"/>
      <c r="AB51" s="79"/>
      <c r="AC51" s="79"/>
      <c r="AD51" s="79"/>
      <c r="AF51" s="65">
        <v>10</v>
      </c>
      <c r="AG51" s="36">
        <v>8</v>
      </c>
      <c r="AH51" s="65" t="s">
        <v>80</v>
      </c>
      <c r="AI51" s="35">
        <v>5</v>
      </c>
    </row>
    <row r="52" spans="1:39" s="60" customFormat="1" ht="13.5" customHeight="1" x14ac:dyDescent="0.35">
      <c r="A52" s="35"/>
      <c r="B52" s="35"/>
      <c r="C52" s="66" t="str">
        <f>VLOOKUP(B51,Уч!$A$2:$L$26,5,FALSE)</f>
        <v xml:space="preserve">Волгоградская область  </v>
      </c>
      <c r="D52" s="107" t="str">
        <f>VLOOKUP(B51,Уч!$A$2:$L$26,4,FALSE)</f>
        <v>КМС</v>
      </c>
      <c r="E52" s="33" t="s">
        <v>97</v>
      </c>
      <c r="F52" s="68">
        <f>VLOOKUP($B51,'100 м 1'!$C$18:$I$86,6,FALSE)</f>
        <v>0</v>
      </c>
      <c r="G52" s="69" t="e">
        <f>VLOOKUP($B51,'длина 2 '!$C$16:$O$54,12,FALSE)</f>
        <v>#N/A</v>
      </c>
      <c r="H52" s="70"/>
      <c r="I52" s="69"/>
      <c r="J52" s="69"/>
      <c r="K52" s="69" t="e">
        <f>VLOOKUP($B51,'1cб_р'!$C$17:$I$63,6,FALSE)</f>
        <v>#N/A</v>
      </c>
      <c r="L52" s="69"/>
      <c r="M52" s="69"/>
      <c r="N52" s="70"/>
      <c r="O52" s="70"/>
      <c r="P52" s="97"/>
      <c r="Q52" s="80"/>
      <c r="R52" s="63"/>
      <c r="S52" s="31" t="e">
        <f>$A51</f>
        <v>#N/A</v>
      </c>
      <c r="T52" s="31">
        <v>2</v>
      </c>
      <c r="U52" s="83"/>
      <c r="V52" s="78"/>
      <c r="W52" s="78"/>
      <c r="X52" s="78"/>
      <c r="Y52" s="78"/>
      <c r="Z52" s="78"/>
      <c r="AA52" s="78"/>
      <c r="AB52" s="79"/>
      <c r="AC52" s="79"/>
      <c r="AD52" s="79"/>
      <c r="AF52" s="65">
        <v>11</v>
      </c>
      <c r="AG52" s="36">
        <v>7</v>
      </c>
      <c r="AH52" s="65"/>
      <c r="AI52" s="35"/>
    </row>
    <row r="53" spans="1:39" s="60" customFormat="1" ht="13.5" customHeight="1" x14ac:dyDescent="0.35">
      <c r="A53" s="35"/>
      <c r="B53" s="35"/>
      <c r="C53" s="67" t="str">
        <f>VLOOKUP(B51,Уч!$A$2:$L$26,7,FALSE)</f>
        <v>ГБУ ВО "СШОР по легкой атлетике", ГАПОУ ВО "УОР имени дважды Героя Советского Союза А.И.Родимцева"</v>
      </c>
      <c r="D53" s="107"/>
      <c r="E53" s="33" t="s">
        <v>77</v>
      </c>
      <c r="F53" s="72">
        <f>VLOOKUP($B51,'100 м 1'!$C$18:$I$86,7,FALSE)</f>
        <v>832</v>
      </c>
      <c r="G53" s="70" t="e">
        <f>VLOOKUP($B51,'длина 2 '!$C$16:$O$54,13,FALSE)</f>
        <v>#N/A</v>
      </c>
      <c r="H53" s="70" t="e">
        <f>VLOOKUP($B51,'ядро 2'!$C$16:$K$60,9,FALSE)</f>
        <v>#N/A</v>
      </c>
      <c r="I53" s="70" t="e">
        <f>VLOOKUP($B51,'высота 2'!$C$16:$AF$57,14,FALSE)</f>
        <v>#N/A</v>
      </c>
      <c r="J53" s="70" t="e">
        <f>VLOOKUP($B51,'4_р'!$C$17:$H$73,6,FALSE)</f>
        <v>#N/A</v>
      </c>
      <c r="K53" s="70" t="e">
        <f>VLOOKUP($B51,'1cб_р'!$C$17:$I$63,7,FALSE)</f>
        <v>#N/A</v>
      </c>
      <c r="L53" s="70" t="e">
        <f>VLOOKUP($B51,Дс_р!$C$16:$K$70,9,FALSE)</f>
        <v>#N/A</v>
      </c>
      <c r="M53" s="70" t="e">
        <f>VLOOKUP($B51,Ш_р!$C$15:$AF$69,18,FALSE)</f>
        <v>#N/A</v>
      </c>
      <c r="N53" s="70" t="e">
        <f>VLOOKUP($B51,К_р!$C$15:$K$68,9,FALSE)</f>
        <v>#N/A</v>
      </c>
      <c r="O53" s="70" t="e">
        <f>VLOOKUP($B51,'15_р'!$C$17:$H$86,6,FALSE)</f>
        <v>#N/A</v>
      </c>
      <c r="P53" s="97"/>
      <c r="Q53" s="80"/>
      <c r="R53" s="63"/>
      <c r="S53" s="31" t="e">
        <f>$A51</f>
        <v>#N/A</v>
      </c>
      <c r="T53" s="31">
        <v>3</v>
      </c>
      <c r="U53" s="83"/>
      <c r="V53" s="78"/>
      <c r="W53" s="78"/>
      <c r="X53" s="78"/>
      <c r="Y53" s="78"/>
      <c r="Z53" s="78"/>
      <c r="AA53" s="78"/>
      <c r="AB53" s="79"/>
      <c r="AC53" s="79"/>
      <c r="AD53" s="79"/>
      <c r="AF53" s="65">
        <v>12</v>
      </c>
      <c r="AG53" s="36">
        <v>6</v>
      </c>
      <c r="AH53" s="65"/>
      <c r="AI53" s="35"/>
    </row>
    <row r="54" spans="1:39" s="60" customFormat="1" ht="13.5" customHeight="1" x14ac:dyDescent="0.35">
      <c r="A54" s="35"/>
      <c r="B54" s="35"/>
      <c r="C54" s="66" t="str">
        <f>VLOOKUP(B51,Уч!$A$2:$L$26,11,FALSE)</f>
        <v>Зацеляпин М.И., Мельников Е.С., Кайдалин В.С., Трофимов Е.В.</v>
      </c>
      <c r="D54" s="107"/>
      <c r="E54" s="33" t="s">
        <v>98</v>
      </c>
      <c r="F54" s="72">
        <f>F53</f>
        <v>832</v>
      </c>
      <c r="G54" s="70" t="e">
        <f>F54+G53</f>
        <v>#N/A</v>
      </c>
      <c r="H54" s="70" t="e">
        <f>G54+H53</f>
        <v>#N/A</v>
      </c>
      <c r="I54" s="70" t="e">
        <f>H54+I53</f>
        <v>#N/A</v>
      </c>
      <c r="J54" s="70" t="e">
        <f>SUM($F53:J53)</f>
        <v>#N/A</v>
      </c>
      <c r="K54" s="70" t="e">
        <f>SUM($F53:$K53)</f>
        <v>#N/A</v>
      </c>
      <c r="L54" s="70" t="e">
        <f>K54+L53</f>
        <v>#N/A</v>
      </c>
      <c r="M54" s="70" t="e">
        <f>L54+M53</f>
        <v>#N/A</v>
      </c>
      <c r="N54" s="70" t="e">
        <f>SUM($F53:$N53)</f>
        <v>#N/A</v>
      </c>
      <c r="O54" s="70" t="e">
        <f>SUM($F53:$O53)</f>
        <v>#N/A</v>
      </c>
      <c r="P54" s="97"/>
      <c r="Q54" s="80"/>
      <c r="R54" s="63"/>
      <c r="S54" s="31" t="e">
        <f>$A51</f>
        <v>#N/A</v>
      </c>
      <c r="T54" s="31">
        <v>4</v>
      </c>
      <c r="U54" s="63">
        <f t="shared" ref="U54:AD54" si="7">F54</f>
        <v>832</v>
      </c>
      <c r="V54" s="63" t="e">
        <f t="shared" si="7"/>
        <v>#N/A</v>
      </c>
      <c r="W54" s="63" t="e">
        <f t="shared" si="7"/>
        <v>#N/A</v>
      </c>
      <c r="X54" s="63" t="e">
        <f t="shared" si="7"/>
        <v>#N/A</v>
      </c>
      <c r="Y54" s="63" t="e">
        <f t="shared" si="7"/>
        <v>#N/A</v>
      </c>
      <c r="Z54" s="63" t="e">
        <f t="shared" si="7"/>
        <v>#N/A</v>
      </c>
      <c r="AA54" s="63" t="e">
        <f t="shared" si="7"/>
        <v>#N/A</v>
      </c>
      <c r="AB54" s="63" t="e">
        <f t="shared" si="7"/>
        <v>#N/A</v>
      </c>
      <c r="AC54" s="63" t="e">
        <f t="shared" si="7"/>
        <v>#N/A</v>
      </c>
      <c r="AD54" s="63" t="e">
        <f t="shared" si="7"/>
        <v>#N/A</v>
      </c>
      <c r="AF54" s="65">
        <v>13</v>
      </c>
      <c r="AG54" s="36">
        <v>5</v>
      </c>
      <c r="AH54" s="82"/>
      <c r="AI54" s="31"/>
    </row>
    <row r="55" spans="1:39" s="60" customFormat="1" ht="13.5" customHeight="1" thickBot="1" x14ac:dyDescent="0.4">
      <c r="A55" s="73"/>
      <c r="B55" s="73"/>
      <c r="C55" s="74">
        <f>VLOOKUP(B51,Уч!$A$2:$L$26,12,FALSE)</f>
        <v>0</v>
      </c>
      <c r="D55" s="108"/>
      <c r="E55" s="43" t="s">
        <v>37</v>
      </c>
      <c r="F55" s="75" t="e">
        <f>RANK(F54,$U$19:$U$160,0)</f>
        <v>#N/A</v>
      </c>
      <c r="G55" s="76" t="e">
        <f>RANK(G54,$V$19:$V$160,0)</f>
        <v>#N/A</v>
      </c>
      <c r="H55" s="76" t="e">
        <f>RANK(H54,$W$19:$W$160,0)</f>
        <v>#N/A</v>
      </c>
      <c r="I55" s="76" t="e">
        <f>RANK(I54,$X$19:$X$160,0)</f>
        <v>#N/A</v>
      </c>
      <c r="J55" s="76" t="e">
        <f>RANK(J54,$Y$19:$Y$160,0)</f>
        <v>#N/A</v>
      </c>
      <c r="K55" s="76" t="e">
        <f>RANK(K54,$Z$19:$Z$160,0)</f>
        <v>#N/A</v>
      </c>
      <c r="L55" s="76" t="e">
        <f>RANK(L54,$AA$19:$AA$160,0)</f>
        <v>#N/A</v>
      </c>
      <c r="M55" s="76" t="e">
        <f>RANK(M54,$AB$19:$AB$150,0)</f>
        <v>#N/A</v>
      </c>
      <c r="N55" s="76" t="e">
        <f>RANK(N54,$AC$19:$AC$160,0)</f>
        <v>#N/A</v>
      </c>
      <c r="O55" s="76" t="e">
        <f>RANK(O54,$AD$19:$AD$160,0)</f>
        <v>#N/A</v>
      </c>
      <c r="P55" s="98"/>
      <c r="Q55" s="81"/>
      <c r="R55" s="77"/>
      <c r="S55" s="31" t="e">
        <f>$A51</f>
        <v>#N/A</v>
      </c>
      <c r="T55" s="31">
        <v>5</v>
      </c>
      <c r="U55" s="83"/>
      <c r="V55" s="78"/>
      <c r="W55" s="78"/>
      <c r="X55" s="78"/>
      <c r="Y55" s="78"/>
      <c r="Z55" s="78"/>
      <c r="AA55" s="78"/>
      <c r="AB55" s="79"/>
      <c r="AC55" s="79"/>
      <c r="AD55" s="79"/>
      <c r="AF55" s="65">
        <v>14</v>
      </c>
      <c r="AG55" s="36">
        <v>4</v>
      </c>
      <c r="AH55" s="82"/>
      <c r="AI55" s="31"/>
    </row>
    <row r="56" spans="1:39" s="60" customFormat="1" ht="13.5" customHeight="1" thickTop="1" x14ac:dyDescent="0.35">
      <c r="A56" s="35" t="e">
        <f>RANK(P56,$P$16:$P$160,0)</f>
        <v>#N/A</v>
      </c>
      <c r="B56" s="35">
        <v>29</v>
      </c>
      <c r="C56" s="60" t="e">
        <f>VLOOKUP(B56,Уч!$A$2:$L$26,2,FALSE)</f>
        <v>#N/A</v>
      </c>
      <c r="D56" s="107" t="e">
        <f>VLOOKUP(B56,Уч!$A$2:$L$26,3,FALSE)</f>
        <v>#N/A</v>
      </c>
      <c r="E56" s="33" t="s">
        <v>28</v>
      </c>
      <c r="F56" s="61" t="e">
        <f>VLOOKUP($B56,'100 м 1'!$C$18:$I$86,5,FALSE)</f>
        <v>#N/A</v>
      </c>
      <c r="G56" s="62" t="e">
        <f>VLOOKUP($B56,'длина 2 '!$C$16:$O$54,11,FALSE)</f>
        <v>#N/A</v>
      </c>
      <c r="H56" s="62" t="e">
        <f>VLOOKUP($B56,'ядро 2'!$C$16:$K$60,8,FALSE)</f>
        <v>#N/A</v>
      </c>
      <c r="I56" s="62" t="e">
        <f>VLOOKUP($B56,'высота 2'!$C$16:$AF$57,13,FALSE)</f>
        <v>#N/A</v>
      </c>
      <c r="J56" s="62">
        <f>VLOOKUP($B56,'4_р'!$C$17:$H$73,5,FALSE)</f>
        <v>50.57</v>
      </c>
      <c r="K56" s="62">
        <f>VLOOKUP($B56,'1cб_р'!$C$17:$I$63,5,FALSE)</f>
        <v>14.69</v>
      </c>
      <c r="L56" s="62">
        <f>VLOOKUP($B56,Дс_р!$C$16:$K$70,8,FALSE)</f>
        <v>42.74</v>
      </c>
      <c r="M56" s="62">
        <f>VLOOKUP($B56,Ш_р!$C$15:$AF$69,17,FALSE)</f>
        <v>0</v>
      </c>
      <c r="N56" s="62">
        <f>VLOOKUP($B56,К_р!$C$15:$K$68,8,FALSE)</f>
        <v>0</v>
      </c>
      <c r="O56" s="70" t="e">
        <f>VLOOKUP($B56,'15_р'!$C$17:$H$86,5,FALSE)</f>
        <v>#N/A</v>
      </c>
      <c r="P56" s="97" t="e">
        <f>SUM(F58:O58)</f>
        <v>#N/A</v>
      </c>
      <c r="Q56" s="35" t="e">
        <f>LOOKUP(P56,$V$1:$V$7,$W$1:$W$7)</f>
        <v>#N/A</v>
      </c>
      <c r="R56" s="35"/>
      <c r="S56" s="31" t="e">
        <f>$A56</f>
        <v>#N/A</v>
      </c>
      <c r="T56" s="31">
        <v>1</v>
      </c>
      <c r="U56" s="83"/>
      <c r="V56" s="78"/>
      <c r="W56" s="78"/>
      <c r="X56" s="78"/>
      <c r="Y56" s="78"/>
      <c r="Z56" s="78"/>
      <c r="AA56" s="78"/>
      <c r="AB56" s="79"/>
      <c r="AC56" s="79"/>
      <c r="AD56" s="79"/>
      <c r="AE56" s="31"/>
      <c r="AF56" s="65" t="s">
        <v>37</v>
      </c>
      <c r="AG56" s="36" t="s">
        <v>77</v>
      </c>
      <c r="AH56" s="65" t="s">
        <v>76</v>
      </c>
      <c r="AI56" s="35" t="s">
        <v>77</v>
      </c>
      <c r="AJ56" s="31"/>
      <c r="AK56" s="31"/>
      <c r="AL56" s="31"/>
      <c r="AM56" s="31"/>
    </row>
    <row r="57" spans="1:39" s="60" customFormat="1" ht="13.5" customHeight="1" x14ac:dyDescent="0.35">
      <c r="A57" s="35"/>
      <c r="B57" s="35"/>
      <c r="C57" s="66" t="e">
        <f>VLOOKUP(B56,Уч!$A$2:$L$26,5,FALSE)</f>
        <v>#N/A</v>
      </c>
      <c r="D57" s="109" t="e">
        <f>VLOOKUP(B56,Уч!$A$2:$L$26,4,FALSE)</f>
        <v>#N/A</v>
      </c>
      <c r="E57" s="33" t="s">
        <v>97</v>
      </c>
      <c r="F57" s="68" t="e">
        <f>VLOOKUP($B56,'100 м 1'!$C$18:$I$86,6,FALSE)</f>
        <v>#N/A</v>
      </c>
      <c r="G57" s="69" t="e">
        <f>VLOOKUP($B56,'длина 2 '!$C$16:$O$54,12,FALSE)</f>
        <v>#N/A</v>
      </c>
      <c r="H57" s="70"/>
      <c r="I57" s="69"/>
      <c r="J57" s="69"/>
      <c r="K57" s="69">
        <f>VLOOKUP($B56,'1cб_р'!$C$17:$I$63,6,FALSE)</f>
        <v>0</v>
      </c>
      <c r="L57" s="69"/>
      <c r="M57" s="69"/>
      <c r="N57" s="70"/>
      <c r="O57" s="70"/>
      <c r="P57" s="97"/>
      <c r="Q57" s="34"/>
      <c r="R57" s="63"/>
      <c r="S57" s="31" t="e">
        <f>$A56</f>
        <v>#N/A</v>
      </c>
      <c r="T57" s="31">
        <v>2</v>
      </c>
      <c r="U57" s="83"/>
      <c r="V57" s="78"/>
      <c r="W57" s="78"/>
      <c r="X57" s="78"/>
      <c r="Y57" s="78"/>
      <c r="Z57" s="78"/>
      <c r="AA57" s="78"/>
      <c r="AB57" s="79"/>
      <c r="AC57" s="79"/>
      <c r="AD57" s="79"/>
      <c r="AE57" s="31"/>
      <c r="AF57" s="65">
        <v>1</v>
      </c>
      <c r="AG57" s="36">
        <v>20</v>
      </c>
      <c r="AH57" s="36" t="s">
        <v>78</v>
      </c>
      <c r="AI57" s="35"/>
      <c r="AJ57" s="31"/>
      <c r="AK57" s="31"/>
      <c r="AL57" s="31"/>
      <c r="AM57" s="31"/>
    </row>
    <row r="58" spans="1:39" s="60" customFormat="1" ht="13.5" customHeight="1" x14ac:dyDescent="0.35">
      <c r="A58" s="35"/>
      <c r="B58" s="35"/>
      <c r="C58" s="67" t="e">
        <f>VLOOKUP(B56,Уч!$A$2:$L$26,7)</f>
        <v>#N/A</v>
      </c>
      <c r="D58" s="109"/>
      <c r="E58" s="33" t="s">
        <v>77</v>
      </c>
      <c r="F58" s="72" t="e">
        <f>VLOOKUP($B56,'100 м 1'!$C$18:$I$86,7,FALSE)</f>
        <v>#N/A</v>
      </c>
      <c r="G58" s="70" t="e">
        <f>VLOOKUP($B56,'длина 2 '!$C$16:$O$54,13,FALSE)</f>
        <v>#N/A</v>
      </c>
      <c r="H58" s="70" t="e">
        <f>VLOOKUP($B56,'ядро 2'!$C$16:$K$60,9,FALSE)</f>
        <v>#N/A</v>
      </c>
      <c r="I58" s="70" t="e">
        <f>VLOOKUP($B56,'высота 2'!$C$16:$AF$57,14,FALSE)</f>
        <v>#N/A</v>
      </c>
      <c r="J58" s="70">
        <f>VLOOKUP($B56,'4_р'!$C$17:$H$73,6,FALSE)</f>
        <v>789</v>
      </c>
      <c r="K58" s="70">
        <f>VLOOKUP($B56,'1cб_р'!$C$17:$I$63,7,FALSE)</f>
        <v>887</v>
      </c>
      <c r="L58" s="70">
        <f>VLOOKUP($B56,Дс_р!$C$16:$K$70,9,FALSE)</f>
        <v>720</v>
      </c>
      <c r="M58" s="70">
        <f>VLOOKUP($B56,Ш_р!$C$15:$AF$69,18,FALSE)</f>
        <v>0</v>
      </c>
      <c r="N58" s="70">
        <f>VLOOKUP($B56,К_р!$C$15:$K$68,9,FALSE)</f>
        <v>0</v>
      </c>
      <c r="O58" s="70" t="e">
        <f>VLOOKUP($B56,'15_р'!$C$17:$H$86,6,FALSE)</f>
        <v>#N/A</v>
      </c>
      <c r="P58" s="97"/>
      <c r="Q58" s="34"/>
      <c r="R58" s="63"/>
      <c r="S58" s="31" t="e">
        <f>$A56</f>
        <v>#N/A</v>
      </c>
      <c r="T58" s="31">
        <v>3</v>
      </c>
      <c r="U58" s="83"/>
      <c r="V58" s="78"/>
      <c r="W58" s="78"/>
      <c r="X58" s="78"/>
      <c r="Y58" s="78"/>
      <c r="Z58" s="78"/>
      <c r="AA58" s="78"/>
      <c r="AB58" s="79"/>
      <c r="AC58" s="79"/>
      <c r="AD58" s="79"/>
      <c r="AE58" s="31"/>
      <c r="AF58" s="65">
        <v>2</v>
      </c>
      <c r="AG58" s="36">
        <v>17</v>
      </c>
      <c r="AH58" s="65" t="s">
        <v>62</v>
      </c>
      <c r="AI58" s="35">
        <v>15</v>
      </c>
      <c r="AJ58" s="31"/>
      <c r="AK58" s="31"/>
      <c r="AL58" s="31"/>
      <c r="AM58" s="31"/>
    </row>
    <row r="59" spans="1:39" s="60" customFormat="1" ht="13.5" customHeight="1" x14ac:dyDescent="0.35">
      <c r="A59" s="35"/>
      <c r="B59" s="35"/>
      <c r="C59" s="66" t="e">
        <f>VLOOKUP(B56,Уч!$A$2:$L$26,11,FALSE)</f>
        <v>#N/A</v>
      </c>
      <c r="D59" s="109"/>
      <c r="E59" s="33" t="s">
        <v>98</v>
      </c>
      <c r="F59" s="72" t="e">
        <f>F58</f>
        <v>#N/A</v>
      </c>
      <c r="G59" s="70" t="e">
        <f>F59+G58</f>
        <v>#N/A</v>
      </c>
      <c r="H59" s="70" t="e">
        <f>G59+H58</f>
        <v>#N/A</v>
      </c>
      <c r="I59" s="70" t="e">
        <f>H59+I58</f>
        <v>#N/A</v>
      </c>
      <c r="J59" s="70" t="e">
        <f>SUM($F58:J58)</f>
        <v>#N/A</v>
      </c>
      <c r="K59" s="70" t="e">
        <f>SUM($F58:$K58)</f>
        <v>#N/A</v>
      </c>
      <c r="L59" s="70" t="e">
        <f>K59+L58</f>
        <v>#N/A</v>
      </c>
      <c r="M59" s="70" t="e">
        <f>L59+M58</f>
        <v>#N/A</v>
      </c>
      <c r="N59" s="70" t="e">
        <f>SUM($F58:$N58)</f>
        <v>#N/A</v>
      </c>
      <c r="O59" s="70" t="e">
        <f>SUM($F58:$O58)</f>
        <v>#N/A</v>
      </c>
      <c r="P59" s="97"/>
      <c r="Q59" s="34"/>
      <c r="R59" s="63"/>
      <c r="S59" s="31" t="e">
        <f>$A56</f>
        <v>#N/A</v>
      </c>
      <c r="T59" s="31">
        <v>4</v>
      </c>
      <c r="U59" s="63" t="e">
        <f t="shared" ref="U59:AD59" si="8">F59</f>
        <v>#N/A</v>
      </c>
      <c r="V59" s="63" t="e">
        <f t="shared" si="8"/>
        <v>#N/A</v>
      </c>
      <c r="W59" s="63" t="e">
        <f t="shared" si="8"/>
        <v>#N/A</v>
      </c>
      <c r="X59" s="63" t="e">
        <f t="shared" si="8"/>
        <v>#N/A</v>
      </c>
      <c r="Y59" s="63" t="e">
        <f t="shared" si="8"/>
        <v>#N/A</v>
      </c>
      <c r="Z59" s="63" t="e">
        <f t="shared" si="8"/>
        <v>#N/A</v>
      </c>
      <c r="AA59" s="63" t="e">
        <f t="shared" si="8"/>
        <v>#N/A</v>
      </c>
      <c r="AB59" s="63" t="e">
        <f t="shared" si="8"/>
        <v>#N/A</v>
      </c>
      <c r="AC59" s="63" t="e">
        <f t="shared" si="8"/>
        <v>#N/A</v>
      </c>
      <c r="AD59" s="63" t="e">
        <f t="shared" si="8"/>
        <v>#N/A</v>
      </c>
      <c r="AE59" s="31"/>
      <c r="AF59" s="65">
        <v>3</v>
      </c>
      <c r="AG59" s="36">
        <v>15</v>
      </c>
      <c r="AH59" s="65" t="s">
        <v>60</v>
      </c>
      <c r="AI59" s="35">
        <v>5</v>
      </c>
      <c r="AJ59" s="31"/>
      <c r="AK59" s="31"/>
      <c r="AL59" s="31"/>
      <c r="AM59" s="31"/>
    </row>
    <row r="60" spans="1:39" s="60" customFormat="1" ht="13.5" customHeight="1" thickBot="1" x14ac:dyDescent="0.4">
      <c r="A60" s="73"/>
      <c r="B60" s="73"/>
      <c r="C60" s="74" t="e">
        <f>VLOOKUP(B56,Уч!$A$2:$L$26,12,FALSE)</f>
        <v>#N/A</v>
      </c>
      <c r="D60" s="110"/>
      <c r="E60" s="43" t="s">
        <v>37</v>
      </c>
      <c r="F60" s="75" t="e">
        <f>RANK(F59,$U$19:$U$160,0)</f>
        <v>#N/A</v>
      </c>
      <c r="G60" s="76" t="e">
        <f>RANK(G59,$V$19:$V$160,0)</f>
        <v>#N/A</v>
      </c>
      <c r="H60" s="76" t="e">
        <f>RANK(H59,$W$19:$W$160,0)</f>
        <v>#N/A</v>
      </c>
      <c r="I60" s="76" t="e">
        <f>RANK(I59,$X$19:$X$160,0)</f>
        <v>#N/A</v>
      </c>
      <c r="J60" s="76" t="e">
        <f>RANK(J59,$Y$19:$Y$160,0)</f>
        <v>#N/A</v>
      </c>
      <c r="K60" s="76" t="e">
        <f>RANK(K59,$Z$19:$Z$160,0)</f>
        <v>#N/A</v>
      </c>
      <c r="L60" s="76" t="e">
        <f>RANK(L59,$AA$19:$AA$160,0)</f>
        <v>#N/A</v>
      </c>
      <c r="M60" s="76" t="e">
        <f>RANK(M59,$AB$19:$AB$150,0)</f>
        <v>#N/A</v>
      </c>
      <c r="N60" s="76" t="e">
        <f>RANK(N59,$AC$19:$AC$160,0)</f>
        <v>#N/A</v>
      </c>
      <c r="O60" s="76" t="e">
        <f>RANK(O59,$AD$19:$AD$160,0)</f>
        <v>#N/A</v>
      </c>
      <c r="P60" s="98"/>
      <c r="Q60" s="81"/>
      <c r="R60" s="77"/>
      <c r="S60" s="31" t="e">
        <f>$A56</f>
        <v>#N/A</v>
      </c>
      <c r="T60" s="31">
        <v>5</v>
      </c>
      <c r="U60" s="83"/>
      <c r="V60" s="78"/>
      <c r="W60" s="78"/>
      <c r="X60" s="78"/>
      <c r="Y60" s="78"/>
      <c r="Z60" s="78"/>
      <c r="AA60" s="78"/>
      <c r="AB60" s="79"/>
      <c r="AC60" s="79"/>
      <c r="AD60" s="79"/>
      <c r="AE60" s="31"/>
      <c r="AF60" s="65">
        <v>4</v>
      </c>
      <c r="AG60" s="36">
        <v>14</v>
      </c>
      <c r="AI60" s="35"/>
      <c r="AJ60" s="31"/>
      <c r="AK60" s="31"/>
      <c r="AL60" s="31"/>
      <c r="AM60" s="31"/>
    </row>
    <row r="61" spans="1:39" s="60" customFormat="1" ht="13.5" customHeight="1" thickTop="1" x14ac:dyDescent="0.35">
      <c r="A61" s="35" t="e">
        <f>RANK(P61,$P$16:$P$160,0)</f>
        <v>#N/A</v>
      </c>
      <c r="B61" s="35">
        <v>88</v>
      </c>
      <c r="C61" s="60" t="str">
        <f>VLOOKUP(B61,Уч!$A$2:$L$26,2,FALSE)</f>
        <v>Башаев Никита</v>
      </c>
      <c r="D61" s="107" t="str">
        <f>VLOOKUP(B61,Уч!$A$2:$L$26,3,FALSE)</f>
        <v>19.07.1997</v>
      </c>
      <c r="E61" s="33" t="s">
        <v>28</v>
      </c>
      <c r="F61" s="61">
        <f>VLOOKUP($B61,'100 м 1'!$C$18:$I$86,5,FALSE)</f>
        <v>11.22</v>
      </c>
      <c r="G61" s="62">
        <f>VLOOKUP($B61,'длина 2 '!$C$16:$O$54,11,FALSE)</f>
        <v>6.77</v>
      </c>
      <c r="H61" s="62">
        <f>VLOOKUP($B61,'ядро 2'!$C$16:$K$60,8,FALSE)</f>
        <v>12.3</v>
      </c>
      <c r="I61" s="62">
        <f>VLOOKUP($B61,'высота 2'!$C$16:$AF$57,13,FALSE)</f>
        <v>0</v>
      </c>
      <c r="J61" s="62" t="e">
        <f>VLOOKUP($B61,'4_р'!$C$17:$H$73,5,FALSE)</f>
        <v>#N/A</v>
      </c>
      <c r="K61" s="62" t="e">
        <f>VLOOKUP($B61,'1cб_р'!$C$17:$I$63,5,FALSE)</f>
        <v>#N/A</v>
      </c>
      <c r="L61" s="62" t="e">
        <f>VLOOKUP($B61,Дс_р!$C$16:$K$70,8,FALSE)</f>
        <v>#N/A</v>
      </c>
      <c r="M61" s="62" t="e">
        <f>VLOOKUP($B61,Ш_р!$C$15:$AF$69,17,FALSE)</f>
        <v>#N/A</v>
      </c>
      <c r="N61" s="62" t="e">
        <f>VLOOKUP($B61,К_р!$C$15:$K$68,8,FALSE)</f>
        <v>#N/A</v>
      </c>
      <c r="O61" s="70" t="e">
        <f>VLOOKUP($B61,'15_р'!$C$17:$H$86,5,FALSE)</f>
        <v>#N/A</v>
      </c>
      <c r="P61" s="97" t="e">
        <f>SUM(F63:O63)</f>
        <v>#N/A</v>
      </c>
      <c r="Q61" s="35" t="e">
        <f>LOOKUP(P61,$V$1:$V$7,$W$1:$W$7)</f>
        <v>#N/A</v>
      </c>
      <c r="R61" s="35"/>
      <c r="S61" s="31" t="e">
        <f>$A61</f>
        <v>#N/A</v>
      </c>
      <c r="T61" s="31">
        <v>1</v>
      </c>
      <c r="U61" s="83"/>
      <c r="V61" s="78"/>
      <c r="W61" s="78"/>
      <c r="X61" s="78"/>
      <c r="Y61" s="78"/>
      <c r="Z61" s="78"/>
      <c r="AA61" s="78"/>
      <c r="AB61" s="79"/>
      <c r="AC61" s="79"/>
      <c r="AD61" s="79"/>
    </row>
    <row r="62" spans="1:39" s="60" customFormat="1" ht="13.5" customHeight="1" x14ac:dyDescent="0.35">
      <c r="A62" s="35"/>
      <c r="B62" s="35"/>
      <c r="C62" s="66" t="str">
        <f>VLOOKUP(B61,Уч!$A$2:$L$26,5,FALSE)</f>
        <v xml:space="preserve">Челябинская область  </v>
      </c>
      <c r="D62" s="107" t="str">
        <f>VLOOKUP(B61,Уч!$A$2:$L$26,4,FALSE)</f>
        <v>КМС</v>
      </c>
      <c r="E62" s="33" t="s">
        <v>97</v>
      </c>
      <c r="F62" s="68">
        <f>VLOOKUP($B61,'100 м 1'!$C$18:$I$86,6,FALSE)</f>
        <v>0.8</v>
      </c>
      <c r="G62" s="69">
        <f>VLOOKUP($B61,'длина 2 '!$C$16:$O$54,12,FALSE)</f>
        <v>0.1</v>
      </c>
      <c r="H62" s="70"/>
      <c r="I62" s="69"/>
      <c r="J62" s="69"/>
      <c r="K62" s="69" t="e">
        <f>VLOOKUP($B61,'1cб_р'!$C$17:$I$63,6,FALSE)</f>
        <v>#N/A</v>
      </c>
      <c r="L62" s="69"/>
      <c r="M62" s="69"/>
      <c r="N62" s="70"/>
      <c r="O62" s="70"/>
      <c r="P62" s="97"/>
      <c r="Q62" s="80"/>
      <c r="R62" s="63"/>
      <c r="S62" s="31" t="e">
        <f>$A61</f>
        <v>#N/A</v>
      </c>
      <c r="T62" s="31">
        <v>2</v>
      </c>
      <c r="U62" s="83"/>
      <c r="V62" s="78"/>
      <c r="W62" s="78"/>
      <c r="X62" s="78"/>
      <c r="Y62" s="78"/>
      <c r="Z62" s="78"/>
      <c r="AA62" s="78"/>
      <c r="AB62" s="79"/>
      <c r="AC62" s="79"/>
      <c r="AD62" s="79"/>
      <c r="AF62" s="35"/>
      <c r="AG62" s="35"/>
      <c r="AI62" s="35"/>
    </row>
    <row r="63" spans="1:39" s="60" customFormat="1" ht="13.5" customHeight="1" x14ac:dyDescent="0.35">
      <c r="A63" s="35"/>
      <c r="B63" s="35"/>
      <c r="C63" s="67" t="str">
        <f>VLOOKUP(B61,Уч!$A$2:$L$26,7)</f>
        <v>ГБФСУ КО "СШОР по легкой атлетике им. В.А.Савенкова", ГАУ КО "ЦП ССК"</v>
      </c>
      <c r="D63" s="107"/>
      <c r="E63" s="33" t="s">
        <v>77</v>
      </c>
      <c r="F63" s="72">
        <f>VLOOKUP($B61,'100 м 1'!$C$18:$I$86,7,FALSE)</f>
        <v>812</v>
      </c>
      <c r="G63" s="70">
        <f>VLOOKUP($B61,'длина 2 '!$C$16:$O$54,13,FALSE)</f>
        <v>0</v>
      </c>
      <c r="H63" s="70">
        <f>VLOOKUP($B61,'ядро 2'!$C$16:$K$60,9,FALSE)</f>
        <v>625</v>
      </c>
      <c r="I63" s="70">
        <f>VLOOKUP($B61,'высота 2'!$C$16:$AF$57,14,FALSE)</f>
        <v>0</v>
      </c>
      <c r="J63" s="70" t="e">
        <f>VLOOKUP($B61,'4_р'!$C$17:$H$73,6,FALSE)</f>
        <v>#N/A</v>
      </c>
      <c r="K63" s="70" t="e">
        <f>VLOOKUP($B61,'1cб_р'!$C$17:$I$63,7,FALSE)</f>
        <v>#N/A</v>
      </c>
      <c r="L63" s="70" t="e">
        <f>VLOOKUP($B61,Дс_р!$C$16:$K$70,9,FALSE)</f>
        <v>#N/A</v>
      </c>
      <c r="M63" s="70" t="e">
        <f>VLOOKUP($B61,Ш_р!$C$15:$AF$69,18,FALSE)</f>
        <v>#N/A</v>
      </c>
      <c r="N63" s="70" t="e">
        <f>VLOOKUP($B61,К_р!$C$15:$K$68,9,FALSE)</f>
        <v>#N/A</v>
      </c>
      <c r="O63" s="70" t="e">
        <f>VLOOKUP($B61,'15_р'!$C$17:$H$86,6,FALSE)</f>
        <v>#N/A</v>
      </c>
      <c r="P63" s="97"/>
      <c r="Q63" s="80"/>
      <c r="R63" s="63"/>
      <c r="S63" s="31" t="e">
        <f>$A61</f>
        <v>#N/A</v>
      </c>
      <c r="T63" s="31">
        <v>3</v>
      </c>
      <c r="U63" s="83"/>
      <c r="V63" s="78"/>
      <c r="W63" s="78"/>
      <c r="X63" s="78"/>
      <c r="Y63" s="78"/>
      <c r="Z63" s="78"/>
      <c r="AA63" s="78"/>
      <c r="AB63" s="79"/>
      <c r="AC63" s="79"/>
      <c r="AD63" s="79"/>
      <c r="AF63" s="35"/>
      <c r="AG63" s="35"/>
      <c r="AI63" s="35"/>
    </row>
    <row r="64" spans="1:39" s="60" customFormat="1" ht="13.5" customHeight="1" x14ac:dyDescent="0.35">
      <c r="A64" s="35"/>
      <c r="B64" s="35"/>
      <c r="C64" s="66" t="str">
        <f>VLOOKUP(B61,Уч!$A$2:$L$26,11,FALSE)</f>
        <v>Пугач С.В., Свистун В.В.</v>
      </c>
      <c r="D64" s="107"/>
      <c r="E64" s="33" t="s">
        <v>98</v>
      </c>
      <c r="F64" s="72">
        <f>F63</f>
        <v>812</v>
      </c>
      <c r="G64" s="70">
        <f>F64+G63</f>
        <v>812</v>
      </c>
      <c r="H64" s="70">
        <f>G64+H63</f>
        <v>1437</v>
      </c>
      <c r="I64" s="70">
        <f>H64+I63</f>
        <v>1437</v>
      </c>
      <c r="J64" s="70" t="e">
        <f>SUM($F63:J63)</f>
        <v>#N/A</v>
      </c>
      <c r="K64" s="70" t="e">
        <f>SUM($F63:$K63)</f>
        <v>#N/A</v>
      </c>
      <c r="L64" s="70" t="e">
        <f>K64+L63</f>
        <v>#N/A</v>
      </c>
      <c r="M64" s="70" t="e">
        <f>L64+M63</f>
        <v>#N/A</v>
      </c>
      <c r="N64" s="70" t="e">
        <f>SUM($F63:$N63)</f>
        <v>#N/A</v>
      </c>
      <c r="O64" s="70" t="e">
        <f>SUM($F63:$O63)</f>
        <v>#N/A</v>
      </c>
      <c r="P64" s="97"/>
      <c r="Q64" s="80"/>
      <c r="R64" s="63"/>
      <c r="S64" s="31" t="e">
        <f>$A61</f>
        <v>#N/A</v>
      </c>
      <c r="T64" s="31">
        <v>4</v>
      </c>
      <c r="U64" s="63">
        <f t="shared" ref="U64:AD64" si="9">F64</f>
        <v>812</v>
      </c>
      <c r="V64" s="63">
        <f t="shared" si="9"/>
        <v>812</v>
      </c>
      <c r="W64" s="63">
        <f t="shared" si="9"/>
        <v>1437</v>
      </c>
      <c r="X64" s="63">
        <f t="shared" si="9"/>
        <v>1437</v>
      </c>
      <c r="Y64" s="63" t="e">
        <f t="shared" si="9"/>
        <v>#N/A</v>
      </c>
      <c r="Z64" s="63" t="e">
        <f t="shared" si="9"/>
        <v>#N/A</v>
      </c>
      <c r="AA64" s="63" t="e">
        <f t="shared" si="9"/>
        <v>#N/A</v>
      </c>
      <c r="AB64" s="63" t="e">
        <f t="shared" si="9"/>
        <v>#N/A</v>
      </c>
      <c r="AC64" s="63" t="e">
        <f t="shared" si="9"/>
        <v>#N/A</v>
      </c>
      <c r="AD64" s="63" t="e">
        <f t="shared" si="9"/>
        <v>#N/A</v>
      </c>
      <c r="AF64" s="35"/>
      <c r="AG64" s="35"/>
      <c r="AI64" s="35"/>
    </row>
    <row r="65" spans="1:35" s="60" customFormat="1" ht="13.5" customHeight="1" thickBot="1" x14ac:dyDescent="0.4">
      <c r="A65" s="73"/>
      <c r="B65" s="73"/>
      <c r="C65" s="74">
        <f>VLOOKUP(B61,Уч!$A$2:$L$26,12,FALSE)</f>
        <v>0</v>
      </c>
      <c r="D65" s="108"/>
      <c r="E65" s="43" t="s">
        <v>37</v>
      </c>
      <c r="F65" s="75" t="e">
        <f>RANK(F64,$U$19:$U$160,0)</f>
        <v>#N/A</v>
      </c>
      <c r="G65" s="76" t="e">
        <f>RANK(G64,$V$19:$V$160,0)</f>
        <v>#N/A</v>
      </c>
      <c r="H65" s="76" t="e">
        <f>RANK(H64,$W$19:$W$160,0)</f>
        <v>#N/A</v>
      </c>
      <c r="I65" s="76" t="e">
        <f>RANK(I64,$X$19:$X$160,0)</f>
        <v>#N/A</v>
      </c>
      <c r="J65" s="76" t="e">
        <f>RANK(J64,$Y$19:$Y$160,0)</f>
        <v>#N/A</v>
      </c>
      <c r="K65" s="76" t="e">
        <f>RANK(K64,$Z$19:$Z$160,0)</f>
        <v>#N/A</v>
      </c>
      <c r="L65" s="76" t="e">
        <f>RANK(L64,$AA$19:$AA$160,0)</f>
        <v>#N/A</v>
      </c>
      <c r="M65" s="76" t="e">
        <f>RANK(M64,$AB$19:$AB$150,0)</f>
        <v>#N/A</v>
      </c>
      <c r="N65" s="76" t="e">
        <f>RANK(N64,$AC$19:$AC$160,0)</f>
        <v>#N/A</v>
      </c>
      <c r="O65" s="76" t="e">
        <f>RANK(O64,$AD$19:$AD$160,0)</f>
        <v>#N/A</v>
      </c>
      <c r="P65" s="98"/>
      <c r="Q65" s="81"/>
      <c r="R65" s="77"/>
      <c r="S65" s="31" t="e">
        <f>$A61</f>
        <v>#N/A</v>
      </c>
      <c r="T65" s="31">
        <v>5</v>
      </c>
      <c r="U65" s="83"/>
      <c r="V65" s="78"/>
      <c r="W65" s="78"/>
      <c r="X65" s="78"/>
      <c r="Y65" s="78"/>
      <c r="Z65" s="78"/>
      <c r="AA65" s="78"/>
      <c r="AB65" s="79"/>
      <c r="AC65" s="79"/>
      <c r="AD65" s="79"/>
      <c r="AF65" s="35"/>
      <c r="AG65" s="35"/>
      <c r="AI65" s="35"/>
    </row>
    <row r="66" spans="1:35" s="60" customFormat="1" ht="13.5" customHeight="1" thickTop="1" x14ac:dyDescent="0.35">
      <c r="A66" s="35" t="e">
        <f>RANK(P66,$P$16:$P$160,0)</f>
        <v>#N/A</v>
      </c>
      <c r="B66" s="35">
        <v>15</v>
      </c>
      <c r="C66" s="60" t="e">
        <f>VLOOKUP(B66,Уч!$A$2:$L$26,2,FALSE)</f>
        <v>#N/A</v>
      </c>
      <c r="D66" s="107" t="e">
        <f>VLOOKUP(B66,Уч!$A$2:$L$26,3,FALSE)</f>
        <v>#N/A</v>
      </c>
      <c r="E66" s="33" t="s">
        <v>28</v>
      </c>
      <c r="F66" s="61" t="e">
        <f>VLOOKUP($B66,'100 м 1'!$C$18:$I$86,5,FALSE)</f>
        <v>#N/A</v>
      </c>
      <c r="G66" s="62" t="e">
        <f>VLOOKUP($B66,'длина 2 '!$C$16:$O$54,11,FALSE)</f>
        <v>#N/A</v>
      </c>
      <c r="H66" s="62" t="e">
        <f>VLOOKUP($B66,'ядро 2'!$C$16:$K$60,8,FALSE)</f>
        <v>#N/A</v>
      </c>
      <c r="I66" s="62" t="e">
        <f>VLOOKUP($B66,'высота 2'!$C$16:$AF$57,13,FALSE)</f>
        <v>#N/A</v>
      </c>
      <c r="J66" s="62" t="e">
        <f>VLOOKUP($B66,'4_р'!$C$17:$H$73,5,FALSE)</f>
        <v>#N/A</v>
      </c>
      <c r="K66" s="62" t="e">
        <f>VLOOKUP($B66,'1cб_р'!$C$17:$I$63,5,FALSE)</f>
        <v>#N/A</v>
      </c>
      <c r="L66" s="62" t="e">
        <f>VLOOKUP($B66,Дс_р!$C$16:$K$70,8,FALSE)</f>
        <v>#N/A</v>
      </c>
      <c r="M66" s="62" t="e">
        <f>VLOOKUP($B66,Ш_р!$C$15:$AF$69,17,FALSE)</f>
        <v>#N/A</v>
      </c>
      <c r="N66" s="62" t="e">
        <f>VLOOKUP($B66,К_р!$C$15:$K$68,8,FALSE)</f>
        <v>#N/A</v>
      </c>
      <c r="O66" s="70">
        <f>VLOOKUP($B66,'15_р'!$C$17:$H$86,5,FALSE)</f>
        <v>0</v>
      </c>
      <c r="P66" s="97" t="e">
        <f>SUM(F68:O68)</f>
        <v>#N/A</v>
      </c>
      <c r="Q66" s="35" t="e">
        <f>LOOKUP(P66,$V$1:$V$7,$W$1:$W$7)</f>
        <v>#N/A</v>
      </c>
      <c r="R66" s="35"/>
      <c r="S66" s="31" t="e">
        <f>$A66</f>
        <v>#N/A</v>
      </c>
      <c r="T66" s="31">
        <v>1</v>
      </c>
      <c r="U66" s="83"/>
      <c r="V66" s="78"/>
      <c r="W66" s="78"/>
      <c r="X66" s="78"/>
      <c r="Y66" s="78"/>
      <c r="Z66" s="78"/>
      <c r="AA66" s="78"/>
      <c r="AB66" s="79"/>
      <c r="AC66" s="79"/>
      <c r="AD66" s="79"/>
    </row>
    <row r="67" spans="1:35" s="60" customFormat="1" ht="13.5" customHeight="1" x14ac:dyDescent="0.35">
      <c r="A67" s="35"/>
      <c r="B67" s="35"/>
      <c r="C67" s="66" t="e">
        <f>VLOOKUP(B66,Уч!$A$2:$L$26,5,FALSE)</f>
        <v>#N/A</v>
      </c>
      <c r="D67" s="107" t="e">
        <f>VLOOKUP(B66,Уч!$A$2:$L$26,4,FALSE)</f>
        <v>#N/A</v>
      </c>
      <c r="E67" s="33" t="s">
        <v>97</v>
      </c>
      <c r="F67" s="68" t="e">
        <f>VLOOKUP($B66,'100 м 1'!$C$18:$I$86,6,FALSE)</f>
        <v>#N/A</v>
      </c>
      <c r="G67" s="69" t="e">
        <f>VLOOKUP($B66,'длина 2 '!$C$16:$O$54,12,FALSE)</f>
        <v>#N/A</v>
      </c>
      <c r="H67" s="70"/>
      <c r="I67" s="69"/>
      <c r="J67" s="69"/>
      <c r="K67" s="69" t="e">
        <f>VLOOKUP($B66,'1cб_р'!$C$17:$I$63,6,FALSE)</f>
        <v>#N/A</v>
      </c>
      <c r="L67" s="69"/>
      <c r="M67" s="69"/>
      <c r="N67" s="70"/>
      <c r="O67" s="70"/>
      <c r="P67" s="97"/>
      <c r="Q67" s="80"/>
      <c r="R67" s="63"/>
      <c r="S67" s="31" t="e">
        <f>$A66</f>
        <v>#N/A</v>
      </c>
      <c r="T67" s="31">
        <v>2</v>
      </c>
      <c r="U67" s="83"/>
      <c r="V67" s="78"/>
      <c r="W67" s="78"/>
      <c r="X67" s="78"/>
      <c r="Y67" s="78"/>
      <c r="Z67" s="78"/>
      <c r="AA67" s="78"/>
      <c r="AB67" s="79"/>
      <c r="AC67" s="79"/>
      <c r="AD67" s="79"/>
      <c r="AF67" s="35"/>
      <c r="AG67" s="35"/>
      <c r="AI67" s="35"/>
    </row>
    <row r="68" spans="1:35" s="60" customFormat="1" ht="13.5" customHeight="1" x14ac:dyDescent="0.35">
      <c r="A68" s="35"/>
      <c r="B68" s="35"/>
      <c r="C68" s="67" t="e">
        <f>VLOOKUP(B66,Уч!$A$2:$L$26,7)</f>
        <v>#N/A</v>
      </c>
      <c r="D68" s="107"/>
      <c r="E68" s="33" t="s">
        <v>77</v>
      </c>
      <c r="F68" s="72" t="e">
        <f>VLOOKUP($B66,'100 м 1'!$C$18:$I$86,7,FALSE)</f>
        <v>#N/A</v>
      </c>
      <c r="G68" s="70" t="e">
        <f>VLOOKUP($B66,'длина 2 '!$C$16:$O$54,13,FALSE)</f>
        <v>#N/A</v>
      </c>
      <c r="H68" s="70" t="e">
        <f>VLOOKUP($B66,'ядро 2'!$C$16:$K$60,9,FALSE)</f>
        <v>#N/A</v>
      </c>
      <c r="I68" s="70" t="e">
        <f>VLOOKUP($B66,'высота 2'!$C$16:$AF$57,14,FALSE)</f>
        <v>#N/A</v>
      </c>
      <c r="J68" s="70" t="e">
        <f>VLOOKUP($B66,'4_р'!$C$17:$H$73,6,FALSE)</f>
        <v>#N/A</v>
      </c>
      <c r="K68" s="70" t="e">
        <f>VLOOKUP($B66,'1cб_р'!$C$17:$I$63,7,FALSE)</f>
        <v>#N/A</v>
      </c>
      <c r="L68" s="70" t="e">
        <f>VLOOKUP($B66,Дс_р!$C$16:$K$70,9,FALSE)</f>
        <v>#N/A</v>
      </c>
      <c r="M68" s="70" t="e">
        <f>VLOOKUP($B66,Ш_р!$C$15:$AF$69,18,FALSE)</f>
        <v>#N/A</v>
      </c>
      <c r="N68" s="70" t="e">
        <f>VLOOKUP($B66,К_р!$C$15:$K$68,9,FALSE)</f>
        <v>#N/A</v>
      </c>
      <c r="O68" s="70">
        <f>VLOOKUP($B66,'15_р'!$C$17:$H$86,6,FALSE)</f>
        <v>0</v>
      </c>
      <c r="P68" s="97"/>
      <c r="Q68" s="80"/>
      <c r="R68" s="63"/>
      <c r="S68" s="31" t="e">
        <f>$A66</f>
        <v>#N/A</v>
      </c>
      <c r="T68" s="31">
        <v>3</v>
      </c>
      <c r="U68" s="83"/>
      <c r="V68" s="78"/>
      <c r="W68" s="78"/>
      <c r="X68" s="78"/>
      <c r="Y68" s="78"/>
      <c r="Z68" s="78"/>
      <c r="AA68" s="78"/>
      <c r="AB68" s="79"/>
      <c r="AC68" s="79"/>
      <c r="AD68" s="79"/>
      <c r="AF68" s="35"/>
      <c r="AG68" s="35"/>
      <c r="AI68" s="35"/>
    </row>
    <row r="69" spans="1:35" s="60" customFormat="1" ht="13.5" customHeight="1" x14ac:dyDescent="0.35">
      <c r="A69" s="35"/>
      <c r="B69" s="35"/>
      <c r="C69" s="66" t="e">
        <f>VLOOKUP(B66,Уч!$A$2:$L$26,11,FALSE)</f>
        <v>#N/A</v>
      </c>
      <c r="D69" s="107"/>
      <c r="E69" s="33" t="s">
        <v>98</v>
      </c>
      <c r="F69" s="72" t="e">
        <f>F68</f>
        <v>#N/A</v>
      </c>
      <c r="G69" s="70" t="e">
        <f>F69+G68</f>
        <v>#N/A</v>
      </c>
      <c r="H69" s="70" t="e">
        <f>G69+H68</f>
        <v>#N/A</v>
      </c>
      <c r="I69" s="70" t="e">
        <f>H69+I68</f>
        <v>#N/A</v>
      </c>
      <c r="J69" s="70" t="e">
        <f>SUM($F68:J68)</f>
        <v>#N/A</v>
      </c>
      <c r="K69" s="70" t="e">
        <f>SUM($F68:$K68)</f>
        <v>#N/A</v>
      </c>
      <c r="L69" s="70" t="e">
        <f>K69+L68</f>
        <v>#N/A</v>
      </c>
      <c r="M69" s="70" t="e">
        <f>L69+M68</f>
        <v>#N/A</v>
      </c>
      <c r="N69" s="70" t="e">
        <f>SUM($F68:$N68)</f>
        <v>#N/A</v>
      </c>
      <c r="O69" s="70" t="e">
        <f>SUM($F68:$O68)</f>
        <v>#N/A</v>
      </c>
      <c r="P69" s="97"/>
      <c r="Q69" s="80"/>
      <c r="R69" s="63"/>
      <c r="S69" s="31" t="e">
        <f>$A66</f>
        <v>#N/A</v>
      </c>
      <c r="T69" s="31">
        <v>4</v>
      </c>
      <c r="U69" s="63" t="e">
        <f t="shared" ref="U69:AD69" si="10">F69</f>
        <v>#N/A</v>
      </c>
      <c r="V69" s="63" t="e">
        <f t="shared" si="10"/>
        <v>#N/A</v>
      </c>
      <c r="W69" s="63" t="e">
        <f t="shared" si="10"/>
        <v>#N/A</v>
      </c>
      <c r="X69" s="63" t="e">
        <f t="shared" si="10"/>
        <v>#N/A</v>
      </c>
      <c r="Y69" s="63" t="e">
        <f t="shared" si="10"/>
        <v>#N/A</v>
      </c>
      <c r="Z69" s="63" t="e">
        <f t="shared" si="10"/>
        <v>#N/A</v>
      </c>
      <c r="AA69" s="63" t="e">
        <f t="shared" si="10"/>
        <v>#N/A</v>
      </c>
      <c r="AB69" s="63" t="e">
        <f t="shared" si="10"/>
        <v>#N/A</v>
      </c>
      <c r="AC69" s="63" t="e">
        <f t="shared" si="10"/>
        <v>#N/A</v>
      </c>
      <c r="AD69" s="63" t="e">
        <f t="shared" si="10"/>
        <v>#N/A</v>
      </c>
      <c r="AF69" s="35"/>
      <c r="AG69" s="35"/>
      <c r="AI69" s="35"/>
    </row>
    <row r="70" spans="1:35" s="60" customFormat="1" ht="13.5" customHeight="1" thickBot="1" x14ac:dyDescent="0.4">
      <c r="A70" s="73"/>
      <c r="B70" s="73"/>
      <c r="C70" s="74" t="e">
        <f>VLOOKUP(B66,Уч!$A$2:$L$26,12,FALSE)</f>
        <v>#N/A</v>
      </c>
      <c r="D70" s="108"/>
      <c r="E70" s="43" t="s">
        <v>37</v>
      </c>
      <c r="F70" s="75" t="e">
        <f>RANK(F69,$U$19:$U$160,0)</f>
        <v>#N/A</v>
      </c>
      <c r="G70" s="76" t="e">
        <f>RANK(G69,$V$19:$V$160,0)</f>
        <v>#N/A</v>
      </c>
      <c r="H70" s="76" t="e">
        <f>RANK(H69,$W$19:$W$160,0)</f>
        <v>#N/A</v>
      </c>
      <c r="I70" s="76" t="e">
        <f>RANK(I69,$X$19:$X$160,0)</f>
        <v>#N/A</v>
      </c>
      <c r="J70" s="76" t="e">
        <f>RANK(J69,$Y$19:$Y$160,0)</f>
        <v>#N/A</v>
      </c>
      <c r="K70" s="76" t="e">
        <f>RANK(K69,$Z$19:$Z$160,0)</f>
        <v>#N/A</v>
      </c>
      <c r="L70" s="76" t="e">
        <f>RANK(L69,$AA$19:$AA$160,0)</f>
        <v>#N/A</v>
      </c>
      <c r="M70" s="76" t="e">
        <f>RANK(M69,$AB$19:$AB$150,0)</f>
        <v>#N/A</v>
      </c>
      <c r="N70" s="76" t="e">
        <f>RANK(N69,$AC$19:$AC$160,0)</f>
        <v>#N/A</v>
      </c>
      <c r="O70" s="76" t="e">
        <f>RANK(O69,$AD$19:$AD$160,0)</f>
        <v>#N/A</v>
      </c>
      <c r="P70" s="98"/>
      <c r="Q70" s="77"/>
      <c r="R70" s="77"/>
      <c r="S70" s="31" t="e">
        <f>$A66</f>
        <v>#N/A</v>
      </c>
      <c r="T70" s="31">
        <v>5</v>
      </c>
      <c r="U70" s="83"/>
      <c r="V70" s="78"/>
      <c r="W70" s="78"/>
      <c r="X70" s="78"/>
      <c r="Y70" s="78"/>
      <c r="Z70" s="78"/>
      <c r="AA70" s="78"/>
      <c r="AB70" s="79"/>
      <c r="AC70" s="79"/>
      <c r="AD70" s="79"/>
      <c r="AF70" s="35"/>
      <c r="AG70" s="35"/>
      <c r="AI70" s="35"/>
    </row>
    <row r="71" spans="1:35" s="60" customFormat="1" ht="13.5" customHeight="1" thickTop="1" x14ac:dyDescent="0.35">
      <c r="A71" s="35" t="e">
        <f>RANK(P71,$P$16:$P$160,0)</f>
        <v>#N/A</v>
      </c>
      <c r="B71" s="35">
        <v>89</v>
      </c>
      <c r="C71" s="60" t="e">
        <f>VLOOKUP(B71,Уч!$A$2:$L$26,2,FALSE)</f>
        <v>#N/A</v>
      </c>
      <c r="D71" s="107" t="e">
        <f>VLOOKUP(B71,Уч!$A$2:$L$26,3,FALSE)</f>
        <v>#N/A</v>
      </c>
      <c r="E71" s="33" t="s">
        <v>28</v>
      </c>
      <c r="F71" s="61">
        <f>VLOOKUP($B71,'100 м 1'!$C$18:$I$86,5,FALSE)</f>
        <v>11.89</v>
      </c>
      <c r="G71" s="62">
        <f>VLOOKUP($B71,'длина 2 '!$C$16:$O$54,11,FALSE)</f>
        <v>7.16</v>
      </c>
      <c r="H71" s="62">
        <f>VLOOKUP($B71,'ядро 2'!$C$16:$K$60,8,FALSE)</f>
        <v>12.7</v>
      </c>
      <c r="I71" s="62">
        <f>VLOOKUP($B71,'высота 2'!$C$16:$AF$57,13,FALSE)</f>
        <v>0</v>
      </c>
      <c r="J71" s="62" t="e">
        <f>VLOOKUP($B71,'4_р'!$C$17:$H$73,5,FALSE)</f>
        <v>#N/A</v>
      </c>
      <c r="K71" s="62" t="e">
        <f>VLOOKUP($B71,'1cб_р'!$C$17:$I$63,5,FALSE)</f>
        <v>#N/A</v>
      </c>
      <c r="L71" s="62" t="e">
        <f>VLOOKUP($B71,Дс_р!$C$16:$K$70,8,FALSE)</f>
        <v>#N/A</v>
      </c>
      <c r="M71" s="62" t="e">
        <f>VLOOKUP($B71,Ш_р!$C$15:$AF$69,17,FALSE)</f>
        <v>#N/A</v>
      </c>
      <c r="N71" s="62" t="e">
        <f>VLOOKUP($B71,К_р!$C$15:$K$68,8,FALSE)</f>
        <v>#N/A</v>
      </c>
      <c r="O71" s="70" t="e">
        <f>VLOOKUP($B71,'15_р'!$C$17:$H$86,5,FALSE)</f>
        <v>#N/A</v>
      </c>
      <c r="P71" s="97" t="e">
        <f>SUM(F73:O73)</f>
        <v>#N/A</v>
      </c>
      <c r="Q71" s="35" t="e">
        <f>LOOKUP(P71,$V$1:$V$7,$W$1:$W$7)</f>
        <v>#N/A</v>
      </c>
      <c r="R71" s="35" t="s">
        <v>116</v>
      </c>
      <c r="S71" s="31" t="e">
        <f>$A71</f>
        <v>#N/A</v>
      </c>
      <c r="T71" s="31">
        <v>1</v>
      </c>
      <c r="U71" s="83"/>
      <c r="V71" s="78"/>
      <c r="W71" s="78"/>
      <c r="X71" s="78"/>
      <c r="Y71" s="78"/>
      <c r="Z71" s="78"/>
      <c r="AA71" s="78"/>
      <c r="AB71" s="79"/>
      <c r="AC71" s="79"/>
      <c r="AD71" s="79"/>
      <c r="AF71" s="35"/>
      <c r="AG71" s="35"/>
      <c r="AI71" s="35"/>
    </row>
    <row r="72" spans="1:35" s="60" customFormat="1" ht="13.5" customHeight="1" x14ac:dyDescent="0.35">
      <c r="A72" s="35"/>
      <c r="B72" s="35"/>
      <c r="C72" s="66" t="e">
        <f>VLOOKUP(B71,Уч!$A$2:$L$26,5,FALSE)</f>
        <v>#N/A</v>
      </c>
      <c r="D72" s="107" t="e">
        <f>VLOOKUP(B71,Уч!$A$2:$L$26,4,FALSE)</f>
        <v>#N/A</v>
      </c>
      <c r="E72" s="33" t="s">
        <v>97</v>
      </c>
      <c r="F72" s="68">
        <f>VLOOKUP($B71,'100 м 1'!$C$18:$I$86,6,FALSE)</f>
        <v>2</v>
      </c>
      <c r="G72" s="69">
        <f>VLOOKUP($B71,'длина 2 '!$C$16:$O$54,12,FALSE)</f>
        <v>0.7</v>
      </c>
      <c r="H72" s="70"/>
      <c r="I72" s="69"/>
      <c r="J72" s="69"/>
      <c r="K72" s="69" t="e">
        <f>VLOOKUP($B71,'1cб_р'!$C$17:$I$63,6,FALSE)</f>
        <v>#N/A</v>
      </c>
      <c r="L72" s="69"/>
      <c r="M72" s="69"/>
      <c r="N72" s="70"/>
      <c r="O72" s="70"/>
      <c r="P72" s="97"/>
      <c r="Q72" s="63"/>
      <c r="R72" s="63"/>
      <c r="S72" s="31" t="e">
        <f>$A71</f>
        <v>#N/A</v>
      </c>
      <c r="T72" s="31">
        <v>2</v>
      </c>
      <c r="U72" s="83"/>
      <c r="V72" s="78"/>
      <c r="W72" s="78"/>
      <c r="X72" s="78"/>
      <c r="Y72" s="78"/>
      <c r="Z72" s="78"/>
      <c r="AA72" s="78"/>
      <c r="AB72" s="79"/>
      <c r="AC72" s="79"/>
      <c r="AD72" s="79"/>
      <c r="AF72" s="35"/>
      <c r="AG72" s="35"/>
      <c r="AI72" s="35"/>
    </row>
    <row r="73" spans="1:35" s="60" customFormat="1" ht="13.5" customHeight="1" x14ac:dyDescent="0.35">
      <c r="A73" s="35"/>
      <c r="B73" s="35"/>
      <c r="C73" s="67" t="str">
        <f>VLOOKUP(B71,Уч!$A$2:$L$26,7)</f>
        <v>ГБФСУ КО "СШОР по легкой атлетике им. В.А.Савенкова", ГАУ КО "ЦП ССК"</v>
      </c>
      <c r="D73" s="107"/>
      <c r="E73" s="33" t="s">
        <v>77</v>
      </c>
      <c r="F73" s="72">
        <f>VLOOKUP($B71,'100 м 1'!$C$18:$I$86,7,FALSE)</f>
        <v>673</v>
      </c>
      <c r="G73" s="70">
        <f>VLOOKUP($B71,'длина 2 '!$C$16:$O$54,13,FALSE)</f>
        <v>0</v>
      </c>
      <c r="H73" s="70">
        <f>VLOOKUP($B71,'ядро 2'!$C$16:$K$60,9,FALSE)</f>
        <v>649</v>
      </c>
      <c r="I73" s="70">
        <f>VLOOKUP($B71,'высота 2'!$C$16:$AF$57,14,FALSE)</f>
        <v>0</v>
      </c>
      <c r="J73" s="70" t="e">
        <f>VLOOKUP($B71,'4_р'!$C$17:$H$73,6,FALSE)</f>
        <v>#N/A</v>
      </c>
      <c r="K73" s="70" t="e">
        <f>VLOOKUP($B71,'1cб_р'!$C$17:$I$63,7,FALSE)</f>
        <v>#N/A</v>
      </c>
      <c r="L73" s="70" t="e">
        <f>VLOOKUP($B71,Дс_р!$C$16:$K$70,9,FALSE)</f>
        <v>#N/A</v>
      </c>
      <c r="M73" s="70" t="e">
        <f>VLOOKUP($B71,Ш_р!$C$15:$AF$69,18,FALSE)</f>
        <v>#N/A</v>
      </c>
      <c r="N73" s="70" t="e">
        <f>VLOOKUP($B71,К_р!$C$15:$K$68,9,FALSE)</f>
        <v>#N/A</v>
      </c>
      <c r="O73" s="70" t="e">
        <f>VLOOKUP($B71,'15_р'!$C$17:$H$86,6,FALSE)</f>
        <v>#N/A</v>
      </c>
      <c r="P73" s="97"/>
      <c r="Q73" s="63"/>
      <c r="R73" s="63"/>
      <c r="S73" s="31" t="e">
        <f>$A71</f>
        <v>#N/A</v>
      </c>
      <c r="T73" s="31">
        <v>3</v>
      </c>
      <c r="U73" s="83"/>
      <c r="V73" s="78"/>
      <c r="W73" s="78"/>
      <c r="X73" s="78"/>
      <c r="Y73" s="78"/>
      <c r="Z73" s="78"/>
      <c r="AA73" s="78"/>
      <c r="AB73" s="79"/>
      <c r="AC73" s="79"/>
      <c r="AD73" s="79"/>
      <c r="AF73" s="35"/>
      <c r="AG73" s="35"/>
      <c r="AI73" s="35"/>
    </row>
    <row r="74" spans="1:35" s="60" customFormat="1" ht="13.5" customHeight="1" x14ac:dyDescent="0.35">
      <c r="A74" s="35"/>
      <c r="B74" s="35"/>
      <c r="C74" s="66" t="e">
        <f>VLOOKUP(B71,Уч!$A$2:$L$26,11,FALSE)</f>
        <v>#N/A</v>
      </c>
      <c r="D74" s="107"/>
      <c r="E74" s="33" t="s">
        <v>98</v>
      </c>
      <c r="F74" s="72">
        <f>F73</f>
        <v>673</v>
      </c>
      <c r="G74" s="70">
        <f>F74+G73</f>
        <v>673</v>
      </c>
      <c r="H74" s="70">
        <f>G74+H73</f>
        <v>1322</v>
      </c>
      <c r="I74" s="70">
        <f>H74+I73</f>
        <v>1322</v>
      </c>
      <c r="J74" s="70" t="e">
        <f>SUM($F73:J73)</f>
        <v>#N/A</v>
      </c>
      <c r="K74" s="70" t="e">
        <f>SUM($F73:$K73)</f>
        <v>#N/A</v>
      </c>
      <c r="L74" s="70" t="e">
        <f>K74+L73</f>
        <v>#N/A</v>
      </c>
      <c r="M74" s="70" t="e">
        <f>L74+M73</f>
        <v>#N/A</v>
      </c>
      <c r="N74" s="70" t="e">
        <f>SUM($F73:$N73)</f>
        <v>#N/A</v>
      </c>
      <c r="O74" s="70" t="e">
        <f>SUM($F73:$O73)</f>
        <v>#N/A</v>
      </c>
      <c r="P74" s="97"/>
      <c r="Q74" s="63"/>
      <c r="R74" s="63"/>
      <c r="S74" s="31" t="e">
        <f>$A71</f>
        <v>#N/A</v>
      </c>
      <c r="T74" s="31">
        <v>4</v>
      </c>
      <c r="U74" s="63">
        <f t="shared" ref="U74:AD74" si="11">F74</f>
        <v>673</v>
      </c>
      <c r="V74" s="63">
        <f t="shared" si="11"/>
        <v>673</v>
      </c>
      <c r="W74" s="63">
        <f t="shared" si="11"/>
        <v>1322</v>
      </c>
      <c r="X74" s="63">
        <f t="shared" si="11"/>
        <v>1322</v>
      </c>
      <c r="Y74" s="63" t="e">
        <f t="shared" si="11"/>
        <v>#N/A</v>
      </c>
      <c r="Z74" s="63" t="e">
        <f t="shared" si="11"/>
        <v>#N/A</v>
      </c>
      <c r="AA74" s="63" t="e">
        <f t="shared" si="11"/>
        <v>#N/A</v>
      </c>
      <c r="AB74" s="63" t="e">
        <f t="shared" si="11"/>
        <v>#N/A</v>
      </c>
      <c r="AC74" s="63" t="e">
        <f t="shared" si="11"/>
        <v>#N/A</v>
      </c>
      <c r="AD74" s="63" t="e">
        <f t="shared" si="11"/>
        <v>#N/A</v>
      </c>
      <c r="AF74" s="35"/>
      <c r="AG74" s="35"/>
      <c r="AI74" s="35"/>
    </row>
    <row r="75" spans="1:35" s="60" customFormat="1" ht="13.5" customHeight="1" thickBot="1" x14ac:dyDescent="0.4">
      <c r="A75" s="73"/>
      <c r="B75" s="73"/>
      <c r="C75" s="74" t="e">
        <f>VLOOKUP(B71,Уч!$A$2:$L$26,12,FALSE)</f>
        <v>#N/A</v>
      </c>
      <c r="D75" s="108"/>
      <c r="E75" s="43" t="s">
        <v>37</v>
      </c>
      <c r="F75" s="75" t="e">
        <f>RANK(F74,$U$19:$U$160,0)</f>
        <v>#N/A</v>
      </c>
      <c r="G75" s="76" t="e">
        <f>RANK(G74,$V$19:$V$160,0)</f>
        <v>#N/A</v>
      </c>
      <c r="H75" s="76" t="e">
        <f>RANK(H74,$W$19:$W$160,0)</f>
        <v>#N/A</v>
      </c>
      <c r="I75" s="76" t="e">
        <f>RANK(I74,$X$19:$X$160,0)</f>
        <v>#N/A</v>
      </c>
      <c r="J75" s="76" t="e">
        <f>RANK(J74,$Y$19:$Y$160,0)</f>
        <v>#N/A</v>
      </c>
      <c r="K75" s="76" t="e">
        <f>RANK(K74,$Z$19:$Z$160,0)</f>
        <v>#N/A</v>
      </c>
      <c r="L75" s="76" t="e">
        <f>RANK(L74,$AA$19:$AA$160,0)</f>
        <v>#N/A</v>
      </c>
      <c r="M75" s="76" t="e">
        <f>RANK(M74,$AB$19:$AB$150,0)</f>
        <v>#N/A</v>
      </c>
      <c r="N75" s="76" t="e">
        <f>RANK(N74,$AC$19:$AC$160,0)</f>
        <v>#N/A</v>
      </c>
      <c r="O75" s="76" t="e">
        <f>RANK(O74,$AD$19:$AD$160,0)</f>
        <v>#N/A</v>
      </c>
      <c r="P75" s="98"/>
      <c r="Q75" s="77"/>
      <c r="R75" s="77"/>
      <c r="S75" s="31" t="e">
        <f>$A71</f>
        <v>#N/A</v>
      </c>
      <c r="T75" s="31">
        <v>5</v>
      </c>
      <c r="U75" s="83"/>
      <c r="V75" s="78"/>
      <c r="W75" s="78"/>
      <c r="X75" s="78"/>
      <c r="Y75" s="78"/>
      <c r="Z75" s="78"/>
      <c r="AA75" s="78"/>
      <c r="AB75" s="79"/>
      <c r="AC75" s="79"/>
      <c r="AD75" s="79"/>
      <c r="AF75" s="35"/>
      <c r="AG75" s="35"/>
      <c r="AI75" s="35"/>
    </row>
    <row r="76" spans="1:35" s="60" customFormat="1" ht="13.5" customHeight="1" thickTop="1" x14ac:dyDescent="0.35">
      <c r="A76" s="35" t="e">
        <f>RANK(P76,$P$16:$P$160,0)</f>
        <v>#N/A</v>
      </c>
      <c r="B76" s="35">
        <v>36</v>
      </c>
      <c r="C76" s="60" t="str">
        <f>VLOOKUP(B76,Уч!$A$2:$L$26,2,FALSE)</f>
        <v>Королёв Максим</v>
      </c>
      <c r="D76" s="107" t="str">
        <f>VLOOKUP(B76,Уч!$A$2:$L$26,3,FALSE)</f>
        <v>06.01.1988</v>
      </c>
      <c r="E76" s="33" t="s">
        <v>28</v>
      </c>
      <c r="F76" s="61">
        <f>VLOOKUP($B76,'100 м 1'!$C$18:$I$86,5,FALSE)</f>
        <v>11.62</v>
      </c>
      <c r="G76" s="62" t="e">
        <f>VLOOKUP($B76,'длина 2 '!$C$16:$O$54,11,FALSE)</f>
        <v>#N/A</v>
      </c>
      <c r="H76" s="62" t="e">
        <f>VLOOKUP($B76,'ядро 2'!$C$16:$K$60,8,FALSE)</f>
        <v>#N/A</v>
      </c>
      <c r="I76" s="62" t="e">
        <f>VLOOKUP($B76,'высота 2'!$C$16:$AF$57,13,FALSE)</f>
        <v>#N/A</v>
      </c>
      <c r="J76" s="62" t="e">
        <f>VLOOKUP($B76,'4_р'!$C$17:$H$73,5,FALSE)</f>
        <v>#N/A</v>
      </c>
      <c r="K76" s="62" t="e">
        <f>VLOOKUP($B76,'1cб_р'!$C$17:$I$63,5,FALSE)</f>
        <v>#N/A</v>
      </c>
      <c r="L76" s="62" t="e">
        <f>VLOOKUP($B76,Дс_р!$C$16:$K$70,8,FALSE)</f>
        <v>#N/A</v>
      </c>
      <c r="M76" s="62" t="e">
        <f>VLOOKUP($B76,Ш_р!$C$15:$AF$69,17,FALSE)</f>
        <v>#N/A</v>
      </c>
      <c r="N76" s="62" t="e">
        <f>VLOOKUP($B76,К_р!$C$15:$K$68,8,FALSE)</f>
        <v>#N/A</v>
      </c>
      <c r="O76" s="70" t="e">
        <f>VLOOKUP($B76,'15_р'!$C$17:$H$86,5,FALSE)</f>
        <v>#N/A</v>
      </c>
      <c r="P76" s="97" t="e">
        <f>SUM(F78:O78)</f>
        <v>#N/A</v>
      </c>
      <c r="Q76" s="35" t="e">
        <f>LOOKUP(P76,$V$1:$V$7,$W$1:$W$7)</f>
        <v>#N/A</v>
      </c>
      <c r="R76" s="35"/>
      <c r="S76" s="31" t="e">
        <f>$A76</f>
        <v>#N/A</v>
      </c>
      <c r="T76" s="31">
        <v>1</v>
      </c>
      <c r="U76" s="78"/>
      <c r="V76" s="78"/>
      <c r="W76" s="78"/>
      <c r="X76" s="78"/>
      <c r="Y76" s="78"/>
      <c r="Z76" s="78"/>
      <c r="AA76" s="78"/>
      <c r="AB76" s="79"/>
      <c r="AC76" s="79"/>
      <c r="AD76" s="79"/>
      <c r="AF76" s="35"/>
      <c r="AG76" s="35"/>
      <c r="AI76" s="35"/>
    </row>
    <row r="77" spans="1:35" s="60" customFormat="1" ht="13.5" customHeight="1" x14ac:dyDescent="0.35">
      <c r="A77" s="35"/>
      <c r="B77" s="35"/>
      <c r="C77" s="66" t="str">
        <f>VLOOKUP(B76,Уч!$A$2:$L$26,5,FALSE)</f>
        <v xml:space="preserve">Липецкая область  </v>
      </c>
      <c r="D77" s="109" t="str">
        <f>VLOOKUP(B76,Уч!$A$2:$L$26,4,FALSE)</f>
        <v>МС</v>
      </c>
      <c r="E77" s="33" t="s">
        <v>97</v>
      </c>
      <c r="F77" s="68">
        <f>VLOOKUP($B76,'100 м 1'!$C$18:$I$86,6,FALSE)</f>
        <v>0</v>
      </c>
      <c r="G77" s="69" t="e">
        <f>VLOOKUP($B76,'длина 2 '!$C$16:$O$54,12,FALSE)</f>
        <v>#N/A</v>
      </c>
      <c r="H77" s="70"/>
      <c r="I77" s="69"/>
      <c r="J77" s="69"/>
      <c r="K77" s="69" t="e">
        <f>VLOOKUP($B76,'1cб_р'!$C$17:$I$63,6,FALSE)</f>
        <v>#N/A</v>
      </c>
      <c r="L77" s="69"/>
      <c r="M77" s="69"/>
      <c r="N77" s="70"/>
      <c r="O77" s="70"/>
      <c r="P77" s="97"/>
      <c r="Q77" s="80"/>
      <c r="R77" s="63"/>
      <c r="S77" s="31" t="e">
        <f>$A76</f>
        <v>#N/A</v>
      </c>
      <c r="T77" s="31">
        <v>2</v>
      </c>
      <c r="U77" s="78"/>
      <c r="V77" s="78"/>
      <c r="W77" s="78"/>
      <c r="X77" s="78"/>
      <c r="Y77" s="78"/>
      <c r="Z77" s="78"/>
      <c r="AA77" s="78"/>
      <c r="AB77" s="79"/>
      <c r="AC77" s="79"/>
      <c r="AD77" s="79"/>
      <c r="AF77" s="35"/>
      <c r="AG77" s="35"/>
      <c r="AI77" s="35"/>
    </row>
    <row r="78" spans="1:35" s="60" customFormat="1" ht="13.5" customHeight="1" x14ac:dyDescent="0.35">
      <c r="A78" s="35"/>
      <c r="B78" s="35"/>
      <c r="C78" s="67" t="str">
        <f>VLOOKUP(B76,Уч!$A$2:$L$26,7)</f>
        <v>ГБУ ЛО ОК СШОР</v>
      </c>
      <c r="D78" s="109"/>
      <c r="E78" s="33" t="s">
        <v>77</v>
      </c>
      <c r="F78" s="72">
        <f>VLOOKUP($B76,'100 м 1'!$C$18:$I$86,7,FALSE)</f>
        <v>728</v>
      </c>
      <c r="G78" s="70" t="e">
        <f>VLOOKUP($B76,'длина 2 '!$C$16:$O$54,13,FALSE)</f>
        <v>#N/A</v>
      </c>
      <c r="H78" s="70" t="e">
        <f>VLOOKUP($B76,'ядро 2'!$C$16:$K$60,9,FALSE)</f>
        <v>#N/A</v>
      </c>
      <c r="I78" s="70" t="e">
        <f>VLOOKUP($B76,'высота 2'!$C$16:$AF$57,14,FALSE)</f>
        <v>#N/A</v>
      </c>
      <c r="J78" s="70" t="e">
        <f>VLOOKUP($B76,'4_р'!$C$17:$H$73,6,FALSE)</f>
        <v>#N/A</v>
      </c>
      <c r="K78" s="70" t="e">
        <f>VLOOKUP($B76,'1cб_р'!$C$17:$I$63,7,FALSE)</f>
        <v>#N/A</v>
      </c>
      <c r="L78" s="70" t="e">
        <f>VLOOKUP($B76,Дс_р!$C$16:$K$70,9,FALSE)</f>
        <v>#N/A</v>
      </c>
      <c r="M78" s="70" t="e">
        <f>VLOOKUP($B76,Ш_р!$C$15:$AF$69,18,FALSE)</f>
        <v>#N/A</v>
      </c>
      <c r="N78" s="70" t="e">
        <f>VLOOKUP($B76,К_р!$C$15:$K$68,9,FALSE)</f>
        <v>#N/A</v>
      </c>
      <c r="O78" s="70" t="e">
        <f>VLOOKUP($B76,'15_р'!$C$17:$H$86,6,FALSE)</f>
        <v>#N/A</v>
      </c>
      <c r="P78" s="97"/>
      <c r="Q78" s="80"/>
      <c r="R78" s="63"/>
      <c r="S78" s="31" t="e">
        <f>$A76</f>
        <v>#N/A</v>
      </c>
      <c r="T78" s="31">
        <v>3</v>
      </c>
      <c r="U78" s="78"/>
      <c r="V78" s="78"/>
      <c r="W78" s="78"/>
      <c r="X78" s="78"/>
      <c r="Y78" s="78"/>
      <c r="Z78" s="78"/>
      <c r="AA78" s="78"/>
      <c r="AB78" s="79"/>
      <c r="AC78" s="79"/>
      <c r="AD78" s="79"/>
      <c r="AF78" s="35"/>
      <c r="AG78" s="35"/>
      <c r="AI78" s="35"/>
    </row>
    <row r="79" spans="1:35" s="60" customFormat="1" ht="13.5" customHeight="1" x14ac:dyDescent="0.35">
      <c r="A79" s="35"/>
      <c r="B79" s="35"/>
      <c r="C79" s="66" t="str">
        <f>VLOOKUP(B76,Уч!$A$2:$L$26,11,FALSE)</f>
        <v>Стегачёв И.Н., Королева К.В., Фролов С.В.</v>
      </c>
      <c r="D79" s="109"/>
      <c r="E79" s="33" t="s">
        <v>98</v>
      </c>
      <c r="F79" s="72">
        <f>F78</f>
        <v>728</v>
      </c>
      <c r="G79" s="70" t="e">
        <f>F79+G78</f>
        <v>#N/A</v>
      </c>
      <c r="H79" s="70" t="e">
        <f>G79+H78</f>
        <v>#N/A</v>
      </c>
      <c r="I79" s="70" t="e">
        <f>H79+I78</f>
        <v>#N/A</v>
      </c>
      <c r="J79" s="70" t="e">
        <f>SUM($F78:J78)</f>
        <v>#N/A</v>
      </c>
      <c r="K79" s="70" t="e">
        <f>SUM($F78:$K78)</f>
        <v>#N/A</v>
      </c>
      <c r="L79" s="70" t="e">
        <f>K79+L78</f>
        <v>#N/A</v>
      </c>
      <c r="M79" s="70" t="e">
        <f>L79+M78</f>
        <v>#N/A</v>
      </c>
      <c r="N79" s="70" t="e">
        <f>SUM($F78:$N78)</f>
        <v>#N/A</v>
      </c>
      <c r="O79" s="70" t="e">
        <f>SUM($F78:$O78)</f>
        <v>#N/A</v>
      </c>
      <c r="P79" s="97"/>
      <c r="Q79" s="63"/>
      <c r="R79" s="63"/>
      <c r="S79" s="31" t="e">
        <f>$A76</f>
        <v>#N/A</v>
      </c>
      <c r="T79" s="31">
        <v>4</v>
      </c>
      <c r="U79" s="63">
        <f t="shared" ref="U79:AD79" si="12">F79</f>
        <v>728</v>
      </c>
      <c r="V79" s="63" t="e">
        <f t="shared" si="12"/>
        <v>#N/A</v>
      </c>
      <c r="W79" s="63" t="e">
        <f t="shared" si="12"/>
        <v>#N/A</v>
      </c>
      <c r="X79" s="63" t="e">
        <f t="shared" si="12"/>
        <v>#N/A</v>
      </c>
      <c r="Y79" s="63" t="e">
        <f t="shared" si="12"/>
        <v>#N/A</v>
      </c>
      <c r="Z79" s="63" t="e">
        <f t="shared" si="12"/>
        <v>#N/A</v>
      </c>
      <c r="AA79" s="63" t="e">
        <f t="shared" si="12"/>
        <v>#N/A</v>
      </c>
      <c r="AB79" s="63" t="e">
        <f t="shared" si="12"/>
        <v>#N/A</v>
      </c>
      <c r="AC79" s="63" t="e">
        <f t="shared" si="12"/>
        <v>#N/A</v>
      </c>
      <c r="AD79" s="63" t="e">
        <f t="shared" si="12"/>
        <v>#N/A</v>
      </c>
      <c r="AF79" s="35"/>
      <c r="AG79" s="35"/>
      <c r="AI79" s="35"/>
    </row>
    <row r="80" spans="1:35" s="60" customFormat="1" ht="13.5" customHeight="1" thickBot="1" x14ac:dyDescent="0.4">
      <c r="A80" s="73"/>
      <c r="B80" s="73"/>
      <c r="C80" s="74">
        <f>VLOOKUP(B76,Уч!$A$2:$L$26,12,FALSE)</f>
        <v>0</v>
      </c>
      <c r="D80" s="110"/>
      <c r="E80" s="43" t="s">
        <v>37</v>
      </c>
      <c r="F80" s="75" t="e">
        <f>RANK(F79,$U$19:$U$160,0)</f>
        <v>#N/A</v>
      </c>
      <c r="G80" s="76" t="e">
        <f>RANK(G79,$V$19:$V$160,0)</f>
        <v>#N/A</v>
      </c>
      <c r="H80" s="76" t="e">
        <f>RANK(H79,$W$19:$W$160,0)</f>
        <v>#N/A</v>
      </c>
      <c r="I80" s="76" t="e">
        <f>RANK(I79,$X$19:$X$160,0)</f>
        <v>#N/A</v>
      </c>
      <c r="J80" s="76" t="e">
        <f>RANK(J79,$Y$19:$Y$160,0)</f>
        <v>#N/A</v>
      </c>
      <c r="K80" s="76" t="e">
        <f>RANK(K79,$Z$19:$Z$160,0)</f>
        <v>#N/A</v>
      </c>
      <c r="L80" s="76" t="e">
        <f>RANK(L79,$AA$19:$AA$160,0)</f>
        <v>#N/A</v>
      </c>
      <c r="M80" s="76" t="e">
        <f>RANK(M79,$AB$19:$AB$150,0)</f>
        <v>#N/A</v>
      </c>
      <c r="N80" s="76" t="e">
        <f>RANK(N79,$AC$19:$AC$160,0)</f>
        <v>#N/A</v>
      </c>
      <c r="O80" s="76" t="e">
        <f>RANK(O79,$AD$19:$AD$160,0)</f>
        <v>#N/A</v>
      </c>
      <c r="P80" s="98"/>
      <c r="Q80" s="77"/>
      <c r="R80" s="77"/>
      <c r="S80" s="31" t="e">
        <f>$A76</f>
        <v>#N/A</v>
      </c>
      <c r="T80" s="31">
        <v>5</v>
      </c>
      <c r="U80" s="83"/>
      <c r="V80" s="78"/>
      <c r="W80" s="78"/>
      <c r="X80" s="78"/>
      <c r="Y80" s="78"/>
      <c r="Z80" s="78"/>
      <c r="AA80" s="78"/>
      <c r="AB80" s="79"/>
      <c r="AC80" s="79"/>
      <c r="AD80" s="79"/>
      <c r="AF80" s="35"/>
      <c r="AG80" s="35"/>
      <c r="AI80" s="35"/>
    </row>
    <row r="81" spans="1:39" s="60" customFormat="1" ht="13.5" customHeight="1" thickTop="1" x14ac:dyDescent="0.35">
      <c r="A81" s="35" t="e">
        <f>RANK(P81,$P$16:$P$160,0)</f>
        <v>#N/A</v>
      </c>
      <c r="B81" s="35">
        <v>22</v>
      </c>
      <c r="C81" s="60" t="str">
        <f>VLOOKUP(B81,Уч!$A$2:$L$26,2,FALSE)</f>
        <v>Чернов Евгений</v>
      </c>
      <c r="D81" s="107">
        <v>32964</v>
      </c>
      <c r="E81" s="33" t="s">
        <v>28</v>
      </c>
      <c r="F81" s="61">
        <f>VLOOKUP($B81,'100 м 1'!$C$18:$I$86,5,FALSE)</f>
        <v>11.8</v>
      </c>
      <c r="G81" s="62" t="e">
        <f>VLOOKUP($B81,'длина 2 '!$C$16:$O$54,11,FALSE)</f>
        <v>#N/A</v>
      </c>
      <c r="H81" s="62" t="e">
        <f>VLOOKUP($B81,'ядро 2'!$C$16:$K$60,8,FALSE)</f>
        <v>#N/A</v>
      </c>
      <c r="I81" s="62" t="e">
        <f>VLOOKUP($B81,'высота 2'!$C$16:$AF$57,13,FALSE)</f>
        <v>#N/A</v>
      </c>
      <c r="J81" s="62" t="e">
        <f>VLOOKUP($B81,'4_р'!$C$17:$H$73,5,FALSE)</f>
        <v>#N/A</v>
      </c>
      <c r="K81" s="62" t="e">
        <f>VLOOKUP($B81,'1cб_р'!$C$17:$I$63,5,FALSE)</f>
        <v>#N/A</v>
      </c>
      <c r="L81" s="62" t="e">
        <f>VLOOKUP($B81,Дс_р!$C$16:$K$70,8,FALSE)</f>
        <v>#N/A</v>
      </c>
      <c r="M81" s="62" t="e">
        <f>VLOOKUP($B81,Ш_р!$C$15:$AF$69,17,FALSE)</f>
        <v>#N/A</v>
      </c>
      <c r="N81" s="62" t="e">
        <f>VLOOKUP($B81,К_р!$C$15:$K$68,8,FALSE)</f>
        <v>#N/A</v>
      </c>
      <c r="O81" s="70">
        <f>VLOOKUP($B81,'15_р'!$C$17:$H$86,5,FALSE)</f>
        <v>0</v>
      </c>
      <c r="P81" s="97" t="e">
        <f>SUM(F83:O83)</f>
        <v>#N/A</v>
      </c>
      <c r="Q81" s="35" t="e">
        <f>LOOKUP(P81,$V$1:$V$7,$W$1:$W$7)</f>
        <v>#N/A</v>
      </c>
      <c r="R81" s="35"/>
      <c r="S81" s="31" t="e">
        <f>$A81</f>
        <v>#N/A</v>
      </c>
      <c r="T81" s="31">
        <v>1</v>
      </c>
      <c r="U81" s="83"/>
      <c r="V81" s="78"/>
      <c r="W81" s="78"/>
      <c r="X81" s="78"/>
      <c r="Y81" s="78"/>
      <c r="Z81" s="78"/>
      <c r="AA81" s="78"/>
      <c r="AB81" s="79"/>
      <c r="AC81" s="79"/>
      <c r="AD81" s="79"/>
      <c r="AF81" s="35"/>
      <c r="AG81" s="35"/>
      <c r="AI81" s="35"/>
    </row>
    <row r="82" spans="1:39" s="60" customFormat="1" ht="13.5" customHeight="1" x14ac:dyDescent="0.35">
      <c r="A82" s="35"/>
      <c r="B82" s="35"/>
      <c r="C82" s="66" t="str">
        <f>VLOOKUP(B81,Уч!$A$2:$L$26,5,FALSE)</f>
        <v xml:space="preserve">Краснодарский край  </v>
      </c>
      <c r="D82" s="109" t="str">
        <f>VLOOKUP(B81,Уч!$A$2:$L$26,4,FALSE)</f>
        <v>МС</v>
      </c>
      <c r="E82" s="33" t="s">
        <v>97</v>
      </c>
      <c r="F82" s="68">
        <f>VLOOKUP($B81,'100 м 1'!$C$18:$I$86,6,FALSE)</f>
        <v>0</v>
      </c>
      <c r="G82" s="69" t="e">
        <f>VLOOKUP($B81,'длина 2 '!$C$16:$O$54,12,FALSE)</f>
        <v>#N/A</v>
      </c>
      <c r="H82" s="70"/>
      <c r="I82" s="69"/>
      <c r="J82" s="69"/>
      <c r="K82" s="69" t="e">
        <f>VLOOKUP($B81,'1cб_р'!$C$17:$I$63,6,FALSE)</f>
        <v>#N/A</v>
      </c>
      <c r="L82" s="69"/>
      <c r="M82" s="69"/>
      <c r="N82" s="70"/>
      <c r="O82" s="70"/>
      <c r="P82" s="97"/>
      <c r="Q82" s="63"/>
      <c r="R82" s="63"/>
      <c r="S82" s="31" t="e">
        <f>$A81</f>
        <v>#N/A</v>
      </c>
      <c r="T82" s="31">
        <v>2</v>
      </c>
      <c r="U82" s="83"/>
      <c r="V82" s="78"/>
      <c r="W82" s="78"/>
      <c r="X82" s="78"/>
      <c r="Y82" s="78"/>
      <c r="Z82" s="78"/>
      <c r="AA82" s="78"/>
      <c r="AB82" s="79"/>
      <c r="AC82" s="79"/>
      <c r="AD82" s="79"/>
      <c r="AF82" s="35"/>
      <c r="AG82" s="35"/>
      <c r="AI82" s="35"/>
    </row>
    <row r="83" spans="1:39" s="60" customFormat="1" ht="13.5" customHeight="1" x14ac:dyDescent="0.35">
      <c r="A83" s="35"/>
      <c r="B83" s="35"/>
      <c r="C83" s="67" t="e">
        <f>VLOOKUP(B81,Уч!$A$2:$L$26,7)</f>
        <v>#N/A</v>
      </c>
      <c r="D83" s="109"/>
      <c r="E83" s="33" t="s">
        <v>77</v>
      </c>
      <c r="F83" s="72">
        <f>VLOOKUP($B81,'100 м 1'!$C$18:$I$86,7,FALSE)</f>
        <v>691</v>
      </c>
      <c r="G83" s="70" t="e">
        <f>VLOOKUP($B81,'длина 2 '!$C$16:$O$54,13,FALSE)</f>
        <v>#N/A</v>
      </c>
      <c r="H83" s="70" t="e">
        <f>VLOOKUP($B81,'ядро 2'!$C$16:$K$60,9,FALSE)</f>
        <v>#N/A</v>
      </c>
      <c r="I83" s="70" t="e">
        <f>VLOOKUP($B81,'высота 2'!$C$16:$AF$57,14,FALSE)</f>
        <v>#N/A</v>
      </c>
      <c r="J83" s="70" t="e">
        <f>VLOOKUP($B81,'4_р'!$C$17:$H$73,6,FALSE)</f>
        <v>#N/A</v>
      </c>
      <c r="K83" s="70" t="e">
        <f>VLOOKUP($B81,'1cб_р'!$C$17:$I$63,7,FALSE)</f>
        <v>#N/A</v>
      </c>
      <c r="L83" s="70" t="e">
        <f>VLOOKUP($B81,Дс_р!$C$16:$K$70,9,FALSE)</f>
        <v>#N/A</v>
      </c>
      <c r="M83" s="70" t="e">
        <f>VLOOKUP($B81,Ш_р!$C$15:$AF$69,18,FALSE)</f>
        <v>#N/A</v>
      </c>
      <c r="N83" s="70" t="e">
        <f>VLOOKUP($B81,К_р!$C$15:$K$68,9,FALSE)</f>
        <v>#N/A</v>
      </c>
      <c r="O83" s="70">
        <f>VLOOKUP($B81,'15_р'!$C$17:$H$86,6,FALSE)</f>
        <v>0</v>
      </c>
      <c r="P83" s="97"/>
      <c r="Q83" s="63"/>
      <c r="R83" s="63"/>
      <c r="S83" s="31" t="e">
        <f>$A81</f>
        <v>#N/A</v>
      </c>
      <c r="T83" s="31">
        <v>3</v>
      </c>
      <c r="U83" s="83"/>
      <c r="V83" s="78"/>
      <c r="W83" s="78"/>
      <c r="X83" s="78"/>
      <c r="Y83" s="78"/>
      <c r="Z83" s="78"/>
      <c r="AA83" s="78"/>
      <c r="AB83" s="79"/>
      <c r="AC83" s="79"/>
      <c r="AD83" s="79"/>
      <c r="AF83" s="35"/>
      <c r="AG83" s="35"/>
      <c r="AI83" s="35"/>
    </row>
    <row r="84" spans="1:39" s="60" customFormat="1" ht="13.5" customHeight="1" x14ac:dyDescent="0.35">
      <c r="A84" s="35"/>
      <c r="B84" s="35"/>
      <c r="C84" s="66" t="str">
        <f>VLOOKUP(B81,Уч!$A$2:$L$26,11,FALSE)</f>
        <v>Чернов С.А., Мирошниченко В.И., Чернова Т.С.</v>
      </c>
      <c r="D84" s="109"/>
      <c r="E84" s="33" t="s">
        <v>98</v>
      </c>
      <c r="F84" s="72">
        <f>F83</f>
        <v>691</v>
      </c>
      <c r="G84" s="70" t="e">
        <f>F84+G83</f>
        <v>#N/A</v>
      </c>
      <c r="H84" s="70" t="e">
        <f>G84+H83</f>
        <v>#N/A</v>
      </c>
      <c r="I84" s="70" t="e">
        <f>H84+I83</f>
        <v>#N/A</v>
      </c>
      <c r="J84" s="70" t="e">
        <f>SUM($F83:J83)</f>
        <v>#N/A</v>
      </c>
      <c r="K84" s="70" t="e">
        <f>SUM($F83:$K83)</f>
        <v>#N/A</v>
      </c>
      <c r="L84" s="70" t="e">
        <f>K84+L83</f>
        <v>#N/A</v>
      </c>
      <c r="M84" s="70" t="e">
        <f>L84+M83</f>
        <v>#N/A</v>
      </c>
      <c r="N84" s="70" t="e">
        <f>SUM($F83:$N83)</f>
        <v>#N/A</v>
      </c>
      <c r="O84" s="70" t="e">
        <f>SUM($F83:$O83)</f>
        <v>#N/A</v>
      </c>
      <c r="P84" s="97"/>
      <c r="Q84" s="63"/>
      <c r="R84" s="63"/>
      <c r="S84" s="31" t="e">
        <f>$A81</f>
        <v>#N/A</v>
      </c>
      <c r="T84" s="31">
        <v>4</v>
      </c>
      <c r="U84" s="63">
        <f t="shared" ref="U84:AD84" si="13">F84</f>
        <v>691</v>
      </c>
      <c r="V84" s="63" t="e">
        <f t="shared" si="13"/>
        <v>#N/A</v>
      </c>
      <c r="W84" s="63" t="e">
        <f t="shared" si="13"/>
        <v>#N/A</v>
      </c>
      <c r="X84" s="63" t="e">
        <f t="shared" si="13"/>
        <v>#N/A</v>
      </c>
      <c r="Y84" s="63" t="e">
        <f t="shared" si="13"/>
        <v>#N/A</v>
      </c>
      <c r="Z84" s="63" t="e">
        <f t="shared" si="13"/>
        <v>#N/A</v>
      </c>
      <c r="AA84" s="63" t="e">
        <f t="shared" si="13"/>
        <v>#N/A</v>
      </c>
      <c r="AB84" s="63" t="e">
        <f t="shared" si="13"/>
        <v>#N/A</v>
      </c>
      <c r="AC84" s="63" t="e">
        <f t="shared" si="13"/>
        <v>#N/A</v>
      </c>
      <c r="AD84" s="63" t="e">
        <f t="shared" si="13"/>
        <v>#N/A</v>
      </c>
      <c r="AF84" s="35"/>
      <c r="AG84" s="35"/>
      <c r="AI84" s="35"/>
    </row>
    <row r="85" spans="1:39" s="60" customFormat="1" ht="13.5" customHeight="1" thickBot="1" x14ac:dyDescent="0.4">
      <c r="A85" s="73"/>
      <c r="B85" s="73"/>
      <c r="C85" s="74">
        <f>VLOOKUP(B81,Уч!$A$2:$L$26,12,FALSE)</f>
        <v>0</v>
      </c>
      <c r="D85" s="110"/>
      <c r="E85" s="43" t="s">
        <v>37</v>
      </c>
      <c r="F85" s="75" t="e">
        <f>RANK(F84,$U$19:$U$160,0)</f>
        <v>#N/A</v>
      </c>
      <c r="G85" s="76" t="e">
        <f>RANK(G84,$V$19:$V$160,0)</f>
        <v>#N/A</v>
      </c>
      <c r="H85" s="76" t="e">
        <f>RANK(H84,$W$19:$W$160,0)</f>
        <v>#N/A</v>
      </c>
      <c r="I85" s="76" t="e">
        <f>RANK(I84,$X$19:$X$160,0)</f>
        <v>#N/A</v>
      </c>
      <c r="J85" s="76" t="e">
        <f>RANK(J84,$Y$19:$Y$160,0)</f>
        <v>#N/A</v>
      </c>
      <c r="K85" s="76" t="e">
        <f>RANK(K84,$Z$19:$Z$160,0)</f>
        <v>#N/A</v>
      </c>
      <c r="L85" s="76" t="e">
        <f>RANK(L84,$AA$19:$AA$160,0)</f>
        <v>#N/A</v>
      </c>
      <c r="M85" s="76" t="e">
        <f>RANK(M84,$AB$19:$AB$150,0)</f>
        <v>#N/A</v>
      </c>
      <c r="N85" s="76" t="e">
        <f>RANK(N84,$AC$19:$AC$160,0)</f>
        <v>#N/A</v>
      </c>
      <c r="O85" s="76" t="e">
        <f>RANK(O84,$AD$19:$AD$160,0)</f>
        <v>#N/A</v>
      </c>
      <c r="P85" s="98"/>
      <c r="Q85" s="77"/>
      <c r="R85" s="77"/>
      <c r="S85" s="31" t="e">
        <f>$A81</f>
        <v>#N/A</v>
      </c>
      <c r="T85" s="31">
        <v>5</v>
      </c>
      <c r="U85" s="83"/>
      <c r="V85" s="78"/>
      <c r="W85" s="78"/>
      <c r="X85" s="78"/>
      <c r="Y85" s="78"/>
      <c r="Z85" s="78"/>
      <c r="AA85" s="78"/>
      <c r="AB85" s="79"/>
      <c r="AC85" s="79"/>
      <c r="AD85" s="79"/>
      <c r="AF85" s="35"/>
      <c r="AG85" s="35"/>
      <c r="AI85" s="35"/>
    </row>
    <row r="86" spans="1:39" s="60" customFormat="1" ht="13.5" customHeight="1" thickTop="1" x14ac:dyDescent="0.35">
      <c r="A86" s="35" t="e">
        <f>RANK(P86,$P$16:$P$160,0)</f>
        <v>#N/A</v>
      </c>
      <c r="B86" s="35">
        <v>105</v>
      </c>
      <c r="C86" s="60" t="e">
        <f>VLOOKUP(B86,Уч!$A$2:$L$26,2,FALSE)</f>
        <v>#N/A</v>
      </c>
      <c r="D86" s="107" t="e">
        <f>VLOOKUP(B86,Уч!$A$2:$L$26,3,FALSE)</f>
        <v>#N/A</v>
      </c>
      <c r="E86" s="33" t="s">
        <v>28</v>
      </c>
      <c r="F86" s="61" t="e">
        <f>VLOOKUP($B86,'100 м 1'!$C$18:$I$86,5,FALSE)</f>
        <v>#N/A</v>
      </c>
      <c r="G86" s="62" t="e">
        <f>VLOOKUP($B86,'длина 2 '!$C$16:$O$54,11,FALSE)</f>
        <v>#N/A</v>
      </c>
      <c r="H86" s="62" t="e">
        <f>VLOOKUP($B86,'ядро 2'!$C$16:$K$60,8,FALSE)</f>
        <v>#N/A</v>
      </c>
      <c r="I86" s="62" t="e">
        <f>VLOOKUP($B86,'высота 2'!$C$16:$AF$57,13,FALSE)</f>
        <v>#N/A</v>
      </c>
      <c r="J86" s="62" t="e">
        <f>VLOOKUP($B86,'4_р'!$C$17:$H$73,5,FALSE)</f>
        <v>#N/A</v>
      </c>
      <c r="K86" s="62" t="e">
        <f>VLOOKUP($B86,'1cб_р'!$C$17:$I$63,5,FALSE)</f>
        <v>#N/A</v>
      </c>
      <c r="L86" s="62" t="e">
        <f>VLOOKUP($B86,Дс_р!$C$16:$K$70,8,FALSE)</f>
        <v>#N/A</v>
      </c>
      <c r="M86" s="62" t="e">
        <f>VLOOKUP($B86,Ш_р!$C$15:$AF$69,17,FALSE)</f>
        <v>#N/A</v>
      </c>
      <c r="N86" s="62" t="e">
        <f>VLOOKUP($B86,К_р!$C$15:$K$68,8,FALSE)</f>
        <v>#N/A</v>
      </c>
      <c r="O86" s="70" t="e">
        <f>VLOOKUP($B86,'15_р'!$C$17:$H$86,5,FALSE)</f>
        <v>#N/A</v>
      </c>
      <c r="P86" s="97" t="e">
        <f>SUM(F88:O88)</f>
        <v>#N/A</v>
      </c>
      <c r="Q86" s="35" t="e">
        <f>LOOKUP(P86,$V$1:$V$7,$W$1:$W$7)</f>
        <v>#N/A</v>
      </c>
      <c r="R86" s="35"/>
      <c r="S86" s="31" t="e">
        <f>$A86</f>
        <v>#N/A</v>
      </c>
      <c r="T86" s="31">
        <v>1</v>
      </c>
      <c r="U86" s="83"/>
      <c r="V86" s="78"/>
      <c r="W86" s="78"/>
      <c r="X86" s="78"/>
      <c r="Y86" s="78"/>
      <c r="Z86" s="78"/>
      <c r="AA86" s="78"/>
      <c r="AB86" s="79"/>
      <c r="AC86" s="79"/>
      <c r="AD86" s="79"/>
      <c r="AF86" s="35"/>
      <c r="AG86" s="35"/>
      <c r="AI86" s="35"/>
    </row>
    <row r="87" spans="1:39" s="60" customFormat="1" ht="13.5" customHeight="1" x14ac:dyDescent="0.35">
      <c r="A87" s="35"/>
      <c r="B87" s="35"/>
      <c r="C87" s="66" t="e">
        <f>VLOOKUP(B86,Уч!$A$2:$L$26,5,FALSE)</f>
        <v>#N/A</v>
      </c>
      <c r="D87" s="107" t="e">
        <f>VLOOKUP(B86,Уч!$A$2:$L$26,4,FALSE)</f>
        <v>#N/A</v>
      </c>
      <c r="E87" s="33" t="s">
        <v>97</v>
      </c>
      <c r="F87" s="68" t="e">
        <f>VLOOKUP($B86,'100 м 1'!$C$18:$I$86,6,FALSE)</f>
        <v>#N/A</v>
      </c>
      <c r="G87" s="69" t="e">
        <f>VLOOKUP($B86,'длина 2 '!$C$16:$O$54,12,FALSE)</f>
        <v>#N/A</v>
      </c>
      <c r="H87" s="70"/>
      <c r="I87" s="69"/>
      <c r="J87" s="69"/>
      <c r="K87" s="69" t="e">
        <f>VLOOKUP($B86,'1cб_р'!$C$17:$I$63,6,FALSE)</f>
        <v>#N/A</v>
      </c>
      <c r="L87" s="69"/>
      <c r="M87" s="69"/>
      <c r="N87" s="70"/>
      <c r="O87" s="70"/>
      <c r="P87" s="97"/>
      <c r="Q87" s="63"/>
      <c r="R87" s="63"/>
      <c r="S87" s="31" t="e">
        <f>$A86</f>
        <v>#N/A</v>
      </c>
      <c r="T87" s="31">
        <v>2</v>
      </c>
      <c r="U87" s="83"/>
      <c r="V87" s="78"/>
      <c r="W87" s="78"/>
      <c r="X87" s="78"/>
      <c r="Y87" s="78"/>
      <c r="Z87" s="78"/>
      <c r="AA87" s="78"/>
      <c r="AB87" s="79"/>
      <c r="AC87" s="79"/>
      <c r="AD87" s="79"/>
      <c r="AF87" s="35"/>
      <c r="AG87" s="35"/>
      <c r="AI87" s="35"/>
    </row>
    <row r="88" spans="1:39" s="60" customFormat="1" ht="13.5" customHeight="1" x14ac:dyDescent="0.35">
      <c r="A88" s="35"/>
      <c r="B88" s="35"/>
      <c r="C88" s="67" t="str">
        <f>VLOOKUP(B86,Уч!$A$2:$L$26,7)</f>
        <v>ГБФСУ КО "СШОР по легкой атлетике им. В.А.Савенкова", ГАУ КО "ЦП ССК"</v>
      </c>
      <c r="D88" s="107"/>
      <c r="E88" s="33" t="s">
        <v>77</v>
      </c>
      <c r="F88" s="72" t="e">
        <f>VLOOKUP($B86,'100 м 1'!$C$18:$I$86,7,FALSE)</f>
        <v>#N/A</v>
      </c>
      <c r="G88" s="70" t="e">
        <f>VLOOKUP($B86,'длина 2 '!$C$16:$O$54,13,FALSE)</f>
        <v>#N/A</v>
      </c>
      <c r="H88" s="70" t="e">
        <f>VLOOKUP($B86,'ядро 2'!$C$16:$K$60,9,FALSE)</f>
        <v>#N/A</v>
      </c>
      <c r="I88" s="70" t="e">
        <f>VLOOKUP($B86,'высота 2'!$C$16:$AF$57,14,FALSE)</f>
        <v>#N/A</v>
      </c>
      <c r="J88" s="70" t="e">
        <f>VLOOKUP($B86,'4_р'!$C$17:$H$73,6,FALSE)</f>
        <v>#N/A</v>
      </c>
      <c r="K88" s="70" t="e">
        <f>VLOOKUP($B86,'1cб_р'!$C$17:$I$63,7,FALSE)</f>
        <v>#N/A</v>
      </c>
      <c r="L88" s="70" t="e">
        <f>VLOOKUP($B86,Дс_р!$C$16:$K$70,9,FALSE)</f>
        <v>#N/A</v>
      </c>
      <c r="M88" s="70" t="e">
        <f>VLOOKUP($B86,Ш_р!$C$15:$AF$69,18,FALSE)</f>
        <v>#N/A</v>
      </c>
      <c r="N88" s="70" t="e">
        <f>VLOOKUP($B86,К_р!$C$15:$K$68,9,FALSE)</f>
        <v>#N/A</v>
      </c>
      <c r="O88" s="70" t="e">
        <f>VLOOKUP($B86,'15_р'!$C$17:$H$86,6,FALSE)</f>
        <v>#N/A</v>
      </c>
      <c r="P88" s="97"/>
      <c r="Q88" s="63"/>
      <c r="R88" s="63"/>
      <c r="S88" s="31" t="e">
        <f>$A86</f>
        <v>#N/A</v>
      </c>
      <c r="T88" s="31">
        <v>3</v>
      </c>
      <c r="U88" s="83"/>
      <c r="V88" s="78"/>
      <c r="W88" s="78"/>
      <c r="X88" s="78"/>
      <c r="Y88" s="78"/>
      <c r="Z88" s="78"/>
      <c r="AA88" s="78"/>
      <c r="AB88" s="79"/>
      <c r="AC88" s="79"/>
      <c r="AD88" s="79"/>
      <c r="AF88" s="35"/>
      <c r="AG88" s="35"/>
      <c r="AI88" s="35"/>
    </row>
    <row r="89" spans="1:39" s="60" customFormat="1" ht="13.5" customHeight="1" x14ac:dyDescent="0.35">
      <c r="A89" s="35"/>
      <c r="B89" s="35"/>
      <c r="C89" s="66" t="e">
        <f>VLOOKUP(B86,Уч!$A$2:$L$26,11,FALSE)</f>
        <v>#N/A</v>
      </c>
      <c r="D89" s="107"/>
      <c r="E89" s="33" t="s">
        <v>98</v>
      </c>
      <c r="F89" s="72" t="e">
        <f>F88</f>
        <v>#N/A</v>
      </c>
      <c r="G89" s="70" t="e">
        <f>F89+G88</f>
        <v>#N/A</v>
      </c>
      <c r="H89" s="70" t="e">
        <f>G89+H88</f>
        <v>#N/A</v>
      </c>
      <c r="I89" s="70" t="e">
        <f>H89+I88</f>
        <v>#N/A</v>
      </c>
      <c r="J89" s="70" t="e">
        <f>SUM($F88:J88)</f>
        <v>#N/A</v>
      </c>
      <c r="K89" s="70" t="e">
        <f>SUM($F88:$K88)</f>
        <v>#N/A</v>
      </c>
      <c r="L89" s="70" t="e">
        <f>K89+L88</f>
        <v>#N/A</v>
      </c>
      <c r="M89" s="70" t="e">
        <f>L89+M88</f>
        <v>#N/A</v>
      </c>
      <c r="N89" s="70" t="e">
        <f>SUM($F88:$N88)</f>
        <v>#N/A</v>
      </c>
      <c r="O89" s="70" t="e">
        <f>SUM($F88:$O88)</f>
        <v>#N/A</v>
      </c>
      <c r="P89" s="97"/>
      <c r="Q89" s="63"/>
      <c r="R89" s="63"/>
      <c r="S89" s="31" t="e">
        <f>$A86</f>
        <v>#N/A</v>
      </c>
      <c r="T89" s="31">
        <v>4</v>
      </c>
      <c r="U89" s="63" t="e">
        <f t="shared" ref="U89:AD89" si="14">F89</f>
        <v>#N/A</v>
      </c>
      <c r="V89" s="63" t="e">
        <f t="shared" si="14"/>
        <v>#N/A</v>
      </c>
      <c r="W89" s="63" t="e">
        <f t="shared" si="14"/>
        <v>#N/A</v>
      </c>
      <c r="X89" s="63" t="e">
        <f t="shared" si="14"/>
        <v>#N/A</v>
      </c>
      <c r="Y89" s="63" t="e">
        <f t="shared" si="14"/>
        <v>#N/A</v>
      </c>
      <c r="Z89" s="63" t="e">
        <f t="shared" si="14"/>
        <v>#N/A</v>
      </c>
      <c r="AA89" s="63" t="e">
        <f t="shared" si="14"/>
        <v>#N/A</v>
      </c>
      <c r="AB89" s="63" t="e">
        <f t="shared" si="14"/>
        <v>#N/A</v>
      </c>
      <c r="AC89" s="63" t="e">
        <f t="shared" si="14"/>
        <v>#N/A</v>
      </c>
      <c r="AD89" s="63" t="e">
        <f t="shared" si="14"/>
        <v>#N/A</v>
      </c>
      <c r="AF89" s="35"/>
      <c r="AG89" s="35"/>
      <c r="AI89" s="35"/>
    </row>
    <row r="90" spans="1:39" s="60" customFormat="1" ht="13.5" customHeight="1" thickBot="1" x14ac:dyDescent="0.4">
      <c r="A90" s="73"/>
      <c r="B90" s="73"/>
      <c r="C90" s="74" t="e">
        <f>VLOOKUP(B86,Уч!$A$2:$L$26,12,FALSE)</f>
        <v>#N/A</v>
      </c>
      <c r="D90" s="108"/>
      <c r="E90" s="43" t="s">
        <v>37</v>
      </c>
      <c r="F90" s="75" t="e">
        <f>RANK(F89,$U$19:$U$160,0)</f>
        <v>#N/A</v>
      </c>
      <c r="G90" s="76" t="e">
        <f>RANK(G89,$V$19:$V$160,0)</f>
        <v>#N/A</v>
      </c>
      <c r="H90" s="76" t="e">
        <f>RANK(H89,$W$19:$W$160,0)</f>
        <v>#N/A</v>
      </c>
      <c r="I90" s="76" t="e">
        <f>RANK(I89,$X$19:$X$160,0)</f>
        <v>#N/A</v>
      </c>
      <c r="J90" s="76" t="e">
        <f>RANK(J89,$Y$19:$Y$160,0)</f>
        <v>#N/A</v>
      </c>
      <c r="K90" s="76" t="e">
        <f>RANK(K89,$Z$19:$Z$160,0)</f>
        <v>#N/A</v>
      </c>
      <c r="L90" s="76" t="e">
        <f>RANK(L89,$AA$19:$AA$160,0)</f>
        <v>#N/A</v>
      </c>
      <c r="M90" s="76" t="e">
        <f>RANK(M89,$AB$19:$AB$150,0)</f>
        <v>#N/A</v>
      </c>
      <c r="N90" s="76" t="e">
        <f>RANK(N89,$AC$19:$AC$160,0)</f>
        <v>#N/A</v>
      </c>
      <c r="O90" s="76" t="e">
        <f>RANK(O89,$AD$19:$AD$160,0)</f>
        <v>#N/A</v>
      </c>
      <c r="P90" s="98"/>
      <c r="Q90" s="77"/>
      <c r="R90" s="77"/>
      <c r="S90" s="31" t="e">
        <f>$A86</f>
        <v>#N/A</v>
      </c>
      <c r="T90" s="31">
        <v>5</v>
      </c>
      <c r="U90" s="83"/>
      <c r="V90" s="78"/>
      <c r="W90" s="78"/>
      <c r="X90" s="78"/>
      <c r="Y90" s="78"/>
      <c r="Z90" s="78"/>
      <c r="AA90" s="78"/>
      <c r="AB90" s="79"/>
      <c r="AC90" s="79"/>
      <c r="AD90" s="79"/>
      <c r="AF90" s="35"/>
      <c r="AG90" s="35"/>
      <c r="AI90" s="35"/>
    </row>
    <row r="91" spans="1:39" s="31" customFormat="1" ht="13.5" customHeight="1" thickTop="1" x14ac:dyDescent="0.35">
      <c r="A91" s="35" t="e">
        <f>RANK(P91,$P$16:$P$160,0)</f>
        <v>#N/A</v>
      </c>
      <c r="B91" s="35">
        <v>24</v>
      </c>
      <c r="C91" s="60" t="e">
        <f>VLOOKUP(B91,Уч!$A$2:$L$26,2,FALSE)</f>
        <v>#N/A</v>
      </c>
      <c r="D91" s="107" t="e">
        <f>VLOOKUP(B91,Уч!$A$2:$L$26,3,FALSE)</f>
        <v>#N/A</v>
      </c>
      <c r="E91" s="33" t="s">
        <v>28</v>
      </c>
      <c r="F91" s="61">
        <f>VLOOKUP($B91,'100 м 1'!$C$18:$I$86,5,FALSE)</f>
        <v>11.15</v>
      </c>
      <c r="G91" s="62" t="e">
        <f>VLOOKUP($B91,'длина 2 '!$C$16:$O$54,11,FALSE)</f>
        <v>#N/A</v>
      </c>
      <c r="H91" s="62" t="e">
        <f>VLOOKUP($B91,'ядро 2'!$C$16:$K$60,8,FALSE)</f>
        <v>#N/A</v>
      </c>
      <c r="I91" s="62" t="e">
        <f>VLOOKUP($B91,'высота 2'!$C$16:$AF$57,13,FALSE)</f>
        <v>#N/A</v>
      </c>
      <c r="J91" s="62">
        <f>VLOOKUP($B91,'4_р'!$C$17:$H$73,5,FALSE)</f>
        <v>54.8</v>
      </c>
      <c r="K91" s="62">
        <f>VLOOKUP($B91,'1cб_р'!$C$17:$I$63,5,FALSE)</f>
        <v>17.36</v>
      </c>
      <c r="L91" s="62">
        <f>VLOOKUP($B91,Дс_р!$C$16:$K$70,8,FALSE)</f>
        <v>29.35</v>
      </c>
      <c r="M91" s="62">
        <f>VLOOKUP($B91,Ш_р!$C$15:$AF$69,17,FALSE)</f>
        <v>0</v>
      </c>
      <c r="N91" s="62">
        <f>VLOOKUP($B91,К_р!$C$15:$K$68,8,FALSE)</f>
        <v>45.16</v>
      </c>
      <c r="O91" s="70" t="str">
        <f>VLOOKUP($B91,'15_р'!$C$17:$H$86,5,FALSE)</f>
        <v>4:51.71</v>
      </c>
      <c r="P91" s="96" t="e">
        <f>SUM(F93:O93)</f>
        <v>#N/A</v>
      </c>
      <c r="Q91" s="35" t="e">
        <f>LOOKUP(P91,$V$1:$V$7,$W$1:$W$7)</f>
        <v>#N/A</v>
      </c>
      <c r="R91" s="35"/>
      <c r="S91" s="31" t="e">
        <f>$A91</f>
        <v>#N/A</v>
      </c>
      <c r="T91" s="31">
        <v>1</v>
      </c>
      <c r="U91" s="83"/>
      <c r="V91" s="78"/>
      <c r="W91" s="78"/>
      <c r="X91" s="78"/>
      <c r="Y91" s="78"/>
      <c r="Z91" s="78"/>
      <c r="AA91" s="78"/>
      <c r="AB91" s="79"/>
      <c r="AC91" s="79"/>
      <c r="AD91" s="79"/>
      <c r="AE91" s="60"/>
      <c r="AF91" s="35"/>
      <c r="AG91" s="35"/>
      <c r="AH91" s="60"/>
      <c r="AI91" s="35"/>
      <c r="AJ91" s="60"/>
      <c r="AK91" s="60"/>
      <c r="AL91" s="60"/>
      <c r="AM91" s="60"/>
    </row>
    <row r="92" spans="1:39" s="31" customFormat="1" ht="13.5" customHeight="1" x14ac:dyDescent="0.35">
      <c r="A92" s="35"/>
      <c r="B92" s="35"/>
      <c r="C92" s="66" t="e">
        <f>VLOOKUP(B91,Уч!$A$2:$L$26,5,FALSE)</f>
        <v>#N/A</v>
      </c>
      <c r="D92" s="107" t="e">
        <f>VLOOKUP(B91,Уч!$A$2:$L$26,4,FALSE)</f>
        <v>#N/A</v>
      </c>
      <c r="E92" s="33" t="s">
        <v>97</v>
      </c>
      <c r="F92" s="68">
        <f>VLOOKUP($B91,'100 м 1'!$C$18:$I$86,6,FALSE)</f>
        <v>1</v>
      </c>
      <c r="G92" s="69" t="e">
        <f>VLOOKUP($B91,'длина 2 '!$C$16:$O$54,12,FALSE)</f>
        <v>#N/A</v>
      </c>
      <c r="H92" s="70"/>
      <c r="I92" s="69"/>
      <c r="J92" s="69"/>
      <c r="K92" s="69">
        <f>VLOOKUP($B91,'1cб_р'!$C$17:$I$63,6,FALSE)</f>
        <v>0</v>
      </c>
      <c r="L92" s="69"/>
      <c r="M92" s="69"/>
      <c r="N92" s="70"/>
      <c r="O92" s="70"/>
      <c r="P92" s="97"/>
      <c r="Q92" s="63"/>
      <c r="R92" s="63"/>
      <c r="S92" s="31" t="e">
        <f>$A91</f>
        <v>#N/A</v>
      </c>
      <c r="T92" s="31">
        <v>2</v>
      </c>
      <c r="U92" s="83"/>
      <c r="V92" s="78"/>
      <c r="W92" s="78"/>
      <c r="X92" s="78"/>
      <c r="Y92" s="78"/>
      <c r="Z92" s="78"/>
      <c r="AA92" s="78"/>
      <c r="AB92" s="79"/>
      <c r="AC92" s="79"/>
      <c r="AD92" s="79"/>
      <c r="AE92" s="60"/>
      <c r="AF92" s="35"/>
      <c r="AG92" s="35"/>
      <c r="AH92" s="60"/>
      <c r="AI92" s="35"/>
      <c r="AJ92" s="60"/>
      <c r="AK92" s="60"/>
      <c r="AL92" s="60"/>
      <c r="AM92" s="60"/>
    </row>
    <row r="93" spans="1:39" s="31" customFormat="1" ht="13.5" customHeight="1" x14ac:dyDescent="0.35">
      <c r="A93" s="35"/>
      <c r="B93" s="35"/>
      <c r="C93" s="67" t="e">
        <f>VLOOKUP(B91,Уч!$A$2:$L$26,7)</f>
        <v>#N/A</v>
      </c>
      <c r="D93" s="107"/>
      <c r="E93" s="33" t="s">
        <v>77</v>
      </c>
      <c r="F93" s="72">
        <f>VLOOKUP($B91,'100 м 1'!$C$18:$I$86,7,FALSE)</f>
        <v>827</v>
      </c>
      <c r="G93" s="70" t="e">
        <f>VLOOKUP($B91,'длина 2 '!$C$16:$O$54,13,FALSE)</f>
        <v>#N/A</v>
      </c>
      <c r="H93" s="70" t="e">
        <f>VLOOKUP($B91,'ядро 2'!$C$16:$K$60,9,FALSE)</f>
        <v>#N/A</v>
      </c>
      <c r="I93" s="70" t="e">
        <f>VLOOKUP($B91,'высота 2'!$C$16:$AF$57,14,FALSE)</f>
        <v>#N/A</v>
      </c>
      <c r="J93" s="70">
        <f>VLOOKUP($B91,'4_р'!$C$17:$H$73,6,FALSE)</f>
        <v>607</v>
      </c>
      <c r="K93" s="70">
        <f>VLOOKUP($B91,'1cб_р'!$C$17:$I$63,7,FALSE)</f>
        <v>587</v>
      </c>
      <c r="L93" s="70">
        <f>VLOOKUP($B91,Дс_р!$C$16:$K$70,9,FALSE)</f>
        <v>452</v>
      </c>
      <c r="M93" s="70">
        <f>VLOOKUP($B91,Ш_р!$C$15:$AF$69,18,FALSE)</f>
        <v>0</v>
      </c>
      <c r="N93" s="70">
        <f>VLOOKUP($B91,К_р!$C$15:$K$68,9,FALSE)</f>
        <v>517</v>
      </c>
      <c r="O93" s="70">
        <f>VLOOKUP($B91,'15_р'!$C$17:$H$86,6,FALSE)</f>
        <v>608</v>
      </c>
      <c r="P93" s="97"/>
      <c r="Q93" s="63"/>
      <c r="R93" s="63"/>
      <c r="S93" s="31" t="e">
        <f>$A91</f>
        <v>#N/A</v>
      </c>
      <c r="T93" s="31">
        <v>3</v>
      </c>
      <c r="U93" s="83"/>
      <c r="V93" s="78"/>
      <c r="W93" s="78"/>
      <c r="X93" s="78"/>
      <c r="Y93" s="78"/>
      <c r="Z93" s="78"/>
      <c r="AA93" s="78"/>
      <c r="AB93" s="79"/>
      <c r="AC93" s="79"/>
      <c r="AD93" s="79"/>
      <c r="AE93" s="60"/>
      <c r="AF93" s="35"/>
      <c r="AG93" s="35"/>
      <c r="AH93" s="60"/>
      <c r="AI93" s="35"/>
      <c r="AJ93" s="60"/>
      <c r="AK93" s="60"/>
      <c r="AL93" s="60"/>
      <c r="AM93" s="60"/>
    </row>
    <row r="94" spans="1:39" s="31" customFormat="1" ht="13.5" customHeight="1" x14ac:dyDescent="0.35">
      <c r="A94" s="35"/>
      <c r="B94" s="35"/>
      <c r="C94" s="66" t="e">
        <f>VLOOKUP(B91,Уч!$A$2:$L$26,11,FALSE)</f>
        <v>#N/A</v>
      </c>
      <c r="D94" s="107"/>
      <c r="E94" s="33" t="s">
        <v>98</v>
      </c>
      <c r="F94" s="72">
        <f>F93</f>
        <v>827</v>
      </c>
      <c r="G94" s="70" t="e">
        <f>F94+G93</f>
        <v>#N/A</v>
      </c>
      <c r="H94" s="70" t="e">
        <f>G94+H93</f>
        <v>#N/A</v>
      </c>
      <c r="I94" s="70" t="e">
        <f>H94+I93</f>
        <v>#N/A</v>
      </c>
      <c r="J94" s="70" t="e">
        <f>SUM($F93:J93)</f>
        <v>#N/A</v>
      </c>
      <c r="K94" s="70" t="e">
        <f>SUM($F93:$K93)</f>
        <v>#N/A</v>
      </c>
      <c r="L94" s="70" t="e">
        <f>K94+L93</f>
        <v>#N/A</v>
      </c>
      <c r="M94" s="70" t="e">
        <f>L94+M93</f>
        <v>#N/A</v>
      </c>
      <c r="N94" s="70" t="e">
        <f>SUM($F93:$N93)</f>
        <v>#N/A</v>
      </c>
      <c r="O94" s="70" t="e">
        <f>SUM($F93:$O93)</f>
        <v>#N/A</v>
      </c>
      <c r="P94" s="97"/>
      <c r="Q94" s="63"/>
      <c r="R94" s="63"/>
      <c r="S94" s="31" t="e">
        <f>$A91</f>
        <v>#N/A</v>
      </c>
      <c r="T94" s="31">
        <v>4</v>
      </c>
      <c r="U94" s="63">
        <f t="shared" ref="U94:AD94" si="15">F94</f>
        <v>827</v>
      </c>
      <c r="V94" s="63" t="e">
        <f t="shared" si="15"/>
        <v>#N/A</v>
      </c>
      <c r="W94" s="63" t="e">
        <f t="shared" si="15"/>
        <v>#N/A</v>
      </c>
      <c r="X94" s="63" t="e">
        <f t="shared" si="15"/>
        <v>#N/A</v>
      </c>
      <c r="Y94" s="63" t="e">
        <f t="shared" si="15"/>
        <v>#N/A</v>
      </c>
      <c r="Z94" s="63" t="e">
        <f t="shared" si="15"/>
        <v>#N/A</v>
      </c>
      <c r="AA94" s="63" t="e">
        <f t="shared" si="15"/>
        <v>#N/A</v>
      </c>
      <c r="AB94" s="63" t="e">
        <f t="shared" si="15"/>
        <v>#N/A</v>
      </c>
      <c r="AC94" s="63" t="e">
        <f t="shared" si="15"/>
        <v>#N/A</v>
      </c>
      <c r="AD94" s="63" t="e">
        <f t="shared" si="15"/>
        <v>#N/A</v>
      </c>
      <c r="AE94" s="60"/>
      <c r="AF94" s="35"/>
      <c r="AG94" s="35"/>
      <c r="AH94" s="60"/>
      <c r="AI94" s="35"/>
      <c r="AJ94" s="60"/>
      <c r="AK94" s="60"/>
      <c r="AL94" s="60"/>
      <c r="AM94" s="60"/>
    </row>
    <row r="95" spans="1:39" s="31" customFormat="1" ht="13.5" customHeight="1" thickBot="1" x14ac:dyDescent="0.4">
      <c r="A95" s="73"/>
      <c r="B95" s="73"/>
      <c r="C95" s="74" t="e">
        <f>VLOOKUP(B91,Уч!$A$2:$L$26,12,FALSE)</f>
        <v>#N/A</v>
      </c>
      <c r="D95" s="108"/>
      <c r="E95" s="43" t="s">
        <v>37</v>
      </c>
      <c r="F95" s="75" t="e">
        <f>RANK(F94,$U$19:$U$160,0)</f>
        <v>#N/A</v>
      </c>
      <c r="G95" s="76" t="e">
        <f>RANK(G94,$V$19:$V$160,0)</f>
        <v>#N/A</v>
      </c>
      <c r="H95" s="76" t="e">
        <f>RANK(H94,$W$19:$W$160,0)</f>
        <v>#N/A</v>
      </c>
      <c r="I95" s="76" t="e">
        <f>RANK(I94,$X$19:$X$160,0)</f>
        <v>#N/A</v>
      </c>
      <c r="J95" s="76" t="e">
        <f>RANK(J94,$Y$19:$Y$160,0)</f>
        <v>#N/A</v>
      </c>
      <c r="K95" s="76" t="e">
        <f>RANK(K94,$Z$19:$Z$160,0)</f>
        <v>#N/A</v>
      </c>
      <c r="L95" s="76" t="e">
        <f>RANK(L94,$AA$19:$AA$160,0)</f>
        <v>#N/A</v>
      </c>
      <c r="M95" s="76" t="e">
        <f>RANK(M94,$AB$19:$AB$150,0)</f>
        <v>#N/A</v>
      </c>
      <c r="N95" s="76" t="e">
        <f>RANK(N94,$AC$19:$AC$160,0)</f>
        <v>#N/A</v>
      </c>
      <c r="O95" s="76" t="e">
        <f>RANK(O94,$AD$19:$AD$160,0)</f>
        <v>#N/A</v>
      </c>
      <c r="P95" s="98"/>
      <c r="Q95" s="77"/>
      <c r="R95" s="77"/>
      <c r="S95" s="31" t="e">
        <f>$A91</f>
        <v>#N/A</v>
      </c>
      <c r="T95" s="31">
        <v>5</v>
      </c>
      <c r="U95" s="83"/>
      <c r="V95" s="78"/>
      <c r="W95" s="78"/>
      <c r="X95" s="78"/>
      <c r="Y95" s="78"/>
      <c r="Z95" s="78"/>
      <c r="AA95" s="78"/>
      <c r="AB95" s="79"/>
      <c r="AC95" s="79"/>
      <c r="AD95" s="79"/>
      <c r="AE95" s="60"/>
      <c r="AF95" s="35"/>
      <c r="AG95" s="35"/>
      <c r="AH95" s="60"/>
      <c r="AI95" s="35"/>
      <c r="AJ95" s="60"/>
      <c r="AK95" s="60"/>
      <c r="AL95" s="60"/>
      <c r="AM95" s="60"/>
    </row>
    <row r="96" spans="1:39" s="60" customFormat="1" ht="13.5" customHeight="1" thickTop="1" x14ac:dyDescent="0.35">
      <c r="A96" s="35" t="e">
        <f>RANK(P96,$P$16:$P$160,0)</f>
        <v>#N/A</v>
      </c>
      <c r="B96" s="35">
        <v>84</v>
      </c>
      <c r="C96" s="60" t="e">
        <f>VLOOKUP(B96,Уч!$A$2:$L$26,2,FALSE)</f>
        <v>#N/A</v>
      </c>
      <c r="D96" s="107" t="e">
        <f>VLOOKUP(B96,Уч!$A$2:$L$26,3,FALSE)</f>
        <v>#N/A</v>
      </c>
      <c r="E96" s="33" t="s">
        <v>28</v>
      </c>
      <c r="F96" s="61" t="e">
        <f>VLOOKUP($B96,'100 м 1'!$C$18:$I$86,5,FALSE)</f>
        <v>#N/A</v>
      </c>
      <c r="G96" s="62" t="e">
        <f>VLOOKUP($B96,'длина 2 '!$C$16:$O$54,11,FALSE)</f>
        <v>#N/A</v>
      </c>
      <c r="H96" s="62" t="e">
        <f>VLOOKUP($B96,'ядро 2'!$C$16:$K$60,8,FALSE)</f>
        <v>#N/A</v>
      </c>
      <c r="I96" s="62" t="e">
        <f>VLOOKUP($B96,'высота 2'!$C$16:$AF$57,13,FALSE)</f>
        <v>#N/A</v>
      </c>
      <c r="J96" s="62" t="e">
        <f>VLOOKUP($B96,'4_р'!$C$17:$H$73,5,FALSE)</f>
        <v>#N/A</v>
      </c>
      <c r="K96" s="62" t="e">
        <f>VLOOKUP($B96,'1cб_р'!$C$17:$I$63,5,FALSE)</f>
        <v>#N/A</v>
      </c>
      <c r="L96" s="62" t="e">
        <f>VLOOKUP($B96,Дс_р!$C$16:$K$70,8,FALSE)</f>
        <v>#N/A</v>
      </c>
      <c r="M96" s="62" t="e">
        <f>VLOOKUP($B96,Ш_р!$C$15:$AF$69,17,FALSE)</f>
        <v>#N/A</v>
      </c>
      <c r="N96" s="62" t="e">
        <f>VLOOKUP($B96,К_р!$C$15:$K$68,8,FALSE)</f>
        <v>#N/A</v>
      </c>
      <c r="O96" s="70" t="e">
        <f>VLOOKUP($B96,'15_р'!$C$17:$H$86,5,FALSE)</f>
        <v>#N/A</v>
      </c>
      <c r="P96" s="97" t="e">
        <f>SUM(F98:O98)</f>
        <v>#N/A</v>
      </c>
      <c r="Q96" s="35" t="e">
        <f>LOOKUP(P96,$V$1:$V$7,$W$1:$W$7)</f>
        <v>#N/A</v>
      </c>
      <c r="R96" s="35"/>
      <c r="S96" s="31" t="e">
        <f>$A96</f>
        <v>#N/A</v>
      </c>
      <c r="T96" s="31">
        <v>1</v>
      </c>
      <c r="U96" s="83"/>
      <c r="V96" s="78"/>
      <c r="W96" s="78"/>
      <c r="X96" s="78"/>
      <c r="Y96" s="78"/>
      <c r="Z96" s="78"/>
      <c r="AA96" s="78"/>
      <c r="AB96" s="79"/>
      <c r="AC96" s="79"/>
      <c r="AD96" s="79"/>
      <c r="AF96" s="35"/>
      <c r="AG96" s="35"/>
      <c r="AI96" s="35"/>
    </row>
    <row r="97" spans="1:35" s="60" customFormat="1" ht="13.5" customHeight="1" x14ac:dyDescent="0.35">
      <c r="A97" s="35"/>
      <c r="B97" s="35"/>
      <c r="C97" s="66" t="e">
        <f>VLOOKUP(B96,Уч!$A$2:$L$26,5,FALSE)</f>
        <v>#N/A</v>
      </c>
      <c r="D97" s="109" t="e">
        <f>VLOOKUP(B96,Уч!$A$2:$L$26,4,FALSE)</f>
        <v>#N/A</v>
      </c>
      <c r="E97" s="33" t="s">
        <v>97</v>
      </c>
      <c r="F97" s="68" t="e">
        <f>VLOOKUP($B96,'100 м 1'!$C$18:$I$86,6,FALSE)</f>
        <v>#N/A</v>
      </c>
      <c r="G97" s="69" t="e">
        <f>VLOOKUP($B96,'длина 2 '!$C$16:$O$54,12,FALSE)</f>
        <v>#N/A</v>
      </c>
      <c r="H97" s="70"/>
      <c r="I97" s="69"/>
      <c r="J97" s="69"/>
      <c r="K97" s="69" t="e">
        <f>VLOOKUP($B96,'1cб_р'!$C$17:$I$63,6,FALSE)</f>
        <v>#N/A</v>
      </c>
      <c r="L97" s="69"/>
      <c r="M97" s="69"/>
      <c r="N97" s="70"/>
      <c r="O97" s="70"/>
      <c r="P97" s="97"/>
      <c r="Q97" s="36"/>
      <c r="R97" s="63"/>
      <c r="S97" s="31" t="e">
        <f>$A96</f>
        <v>#N/A</v>
      </c>
      <c r="T97" s="31">
        <v>2</v>
      </c>
      <c r="U97" s="83"/>
      <c r="V97" s="78"/>
      <c r="W97" s="78"/>
      <c r="X97" s="78"/>
      <c r="Y97" s="78"/>
      <c r="Z97" s="78"/>
      <c r="AA97" s="78"/>
      <c r="AB97" s="79"/>
      <c r="AC97" s="79"/>
      <c r="AD97" s="79"/>
      <c r="AF97" s="35"/>
      <c r="AG97" s="35"/>
      <c r="AI97" s="35"/>
    </row>
    <row r="98" spans="1:35" s="60" customFormat="1" ht="13.5" customHeight="1" x14ac:dyDescent="0.35">
      <c r="A98" s="35"/>
      <c r="B98" s="35"/>
      <c r="C98" s="67" t="str">
        <f>VLOOKUP(B96,Уч!$A$2:$L$26,7)</f>
        <v>ГБФСУ КО "СШОР по легкой атлетике им. В.А.Савенкова", ГАУ КО "ЦП ССК"</v>
      </c>
      <c r="D98" s="109"/>
      <c r="E98" s="33" t="s">
        <v>77</v>
      </c>
      <c r="F98" s="72" t="e">
        <f>VLOOKUP($B96,'100 м 1'!$C$18:$I$86,7,FALSE)</f>
        <v>#N/A</v>
      </c>
      <c r="G98" s="70" t="e">
        <f>VLOOKUP($B96,'длина 2 '!$C$16:$O$54,13,FALSE)</f>
        <v>#N/A</v>
      </c>
      <c r="H98" s="70" t="e">
        <f>VLOOKUP($B96,'ядро 2'!$C$16:$K$60,9,FALSE)</f>
        <v>#N/A</v>
      </c>
      <c r="I98" s="70" t="e">
        <f>VLOOKUP($B96,'высота 2'!$C$16:$AF$57,14,FALSE)</f>
        <v>#N/A</v>
      </c>
      <c r="J98" s="70" t="e">
        <f>VLOOKUP($B96,'4_р'!$C$17:$H$73,6,FALSE)</f>
        <v>#N/A</v>
      </c>
      <c r="K98" s="70" t="e">
        <f>VLOOKUP($B96,'1cб_р'!$C$17:$I$63,7,FALSE)</f>
        <v>#N/A</v>
      </c>
      <c r="L98" s="70" t="e">
        <f>VLOOKUP($B96,Дс_р!$C$16:$K$70,9,FALSE)</f>
        <v>#N/A</v>
      </c>
      <c r="M98" s="70" t="e">
        <f>VLOOKUP($B96,Ш_р!$C$15:$AF$69,18,FALSE)</f>
        <v>#N/A</v>
      </c>
      <c r="N98" s="70" t="e">
        <f>VLOOKUP($B96,К_р!$C$15:$K$68,9,FALSE)</f>
        <v>#N/A</v>
      </c>
      <c r="O98" s="70" t="e">
        <f>VLOOKUP($B96,'15_р'!$C$17:$H$86,6,FALSE)</f>
        <v>#N/A</v>
      </c>
      <c r="P98" s="97"/>
      <c r="Q98" s="36"/>
      <c r="R98" s="63"/>
      <c r="S98" s="31" t="e">
        <f>$A96</f>
        <v>#N/A</v>
      </c>
      <c r="T98" s="31">
        <v>3</v>
      </c>
      <c r="U98" s="83"/>
      <c r="V98" s="78"/>
      <c r="W98" s="78"/>
      <c r="X98" s="78"/>
      <c r="Y98" s="78"/>
      <c r="Z98" s="78"/>
      <c r="AA98" s="78"/>
      <c r="AB98" s="79"/>
      <c r="AC98" s="79"/>
      <c r="AD98" s="79"/>
      <c r="AF98" s="35"/>
      <c r="AG98" s="35"/>
      <c r="AI98" s="35"/>
    </row>
    <row r="99" spans="1:35" s="60" customFormat="1" ht="13.5" customHeight="1" x14ac:dyDescent="0.35">
      <c r="A99" s="35"/>
      <c r="B99" s="35"/>
      <c r="C99" s="66" t="e">
        <f>VLOOKUP(B96,Уч!$A$2:$L$26,11,FALSE)</f>
        <v>#N/A</v>
      </c>
      <c r="D99" s="109"/>
      <c r="E99" s="33" t="s">
        <v>98</v>
      </c>
      <c r="F99" s="72" t="e">
        <f>F98</f>
        <v>#N/A</v>
      </c>
      <c r="G99" s="70" t="e">
        <f>F99+G98</f>
        <v>#N/A</v>
      </c>
      <c r="H99" s="70" t="e">
        <f>G99+H98</f>
        <v>#N/A</v>
      </c>
      <c r="I99" s="70" t="e">
        <f>H99+I98</f>
        <v>#N/A</v>
      </c>
      <c r="J99" s="70" t="e">
        <f>SUM($F98:J98)</f>
        <v>#N/A</v>
      </c>
      <c r="K99" s="70" t="e">
        <f>SUM($F98:$K98)</f>
        <v>#N/A</v>
      </c>
      <c r="L99" s="70" t="e">
        <f>K99+L98</f>
        <v>#N/A</v>
      </c>
      <c r="M99" s="70" t="e">
        <f>L99+M98</f>
        <v>#N/A</v>
      </c>
      <c r="N99" s="70" t="e">
        <f>SUM($F98:$N98)</f>
        <v>#N/A</v>
      </c>
      <c r="O99" s="70" t="e">
        <f>SUM($F98:$O98)</f>
        <v>#N/A</v>
      </c>
      <c r="P99" s="97"/>
      <c r="Q99" s="36"/>
      <c r="R99" s="63"/>
      <c r="S99" s="31" t="e">
        <f>$A96</f>
        <v>#N/A</v>
      </c>
      <c r="T99" s="31">
        <v>4</v>
      </c>
      <c r="U99" s="63" t="e">
        <f t="shared" ref="U99:AD99" si="16">F99</f>
        <v>#N/A</v>
      </c>
      <c r="V99" s="63" t="e">
        <f t="shared" si="16"/>
        <v>#N/A</v>
      </c>
      <c r="W99" s="63" t="e">
        <f t="shared" si="16"/>
        <v>#N/A</v>
      </c>
      <c r="X99" s="63" t="e">
        <f t="shared" si="16"/>
        <v>#N/A</v>
      </c>
      <c r="Y99" s="63" t="e">
        <f t="shared" si="16"/>
        <v>#N/A</v>
      </c>
      <c r="Z99" s="63" t="e">
        <f t="shared" si="16"/>
        <v>#N/A</v>
      </c>
      <c r="AA99" s="63" t="e">
        <f t="shared" si="16"/>
        <v>#N/A</v>
      </c>
      <c r="AB99" s="63" t="e">
        <f t="shared" si="16"/>
        <v>#N/A</v>
      </c>
      <c r="AC99" s="63" t="e">
        <f t="shared" si="16"/>
        <v>#N/A</v>
      </c>
      <c r="AD99" s="63" t="e">
        <f t="shared" si="16"/>
        <v>#N/A</v>
      </c>
      <c r="AF99" s="35"/>
      <c r="AG99" s="35"/>
      <c r="AI99" s="35"/>
    </row>
    <row r="100" spans="1:35" s="60" customFormat="1" ht="13.5" customHeight="1" thickBot="1" x14ac:dyDescent="0.4">
      <c r="A100" s="73"/>
      <c r="B100" s="73"/>
      <c r="C100" s="74"/>
      <c r="D100" s="110"/>
      <c r="E100" s="43" t="s">
        <v>37</v>
      </c>
      <c r="F100" s="75" t="e">
        <f>RANK(F99,$U$19:$U$160,0)</f>
        <v>#N/A</v>
      </c>
      <c r="G100" s="76" t="e">
        <f>RANK(G99,$V$19:$V$160,0)</f>
        <v>#N/A</v>
      </c>
      <c r="H100" s="76" t="e">
        <f>RANK(H99,$W$19:$W$160,0)</f>
        <v>#N/A</v>
      </c>
      <c r="I100" s="76" t="e">
        <f>RANK(I99,$X$19:$X$160,0)</f>
        <v>#N/A</v>
      </c>
      <c r="J100" s="76" t="e">
        <f>RANK(J99,$Y$19:$Y$160,0)</f>
        <v>#N/A</v>
      </c>
      <c r="K100" s="76" t="e">
        <f>RANK(K99,$Z$19:$Z$160,0)</f>
        <v>#N/A</v>
      </c>
      <c r="L100" s="76" t="e">
        <f>RANK(L99,$AA$19:$AA$160,0)</f>
        <v>#N/A</v>
      </c>
      <c r="M100" s="76" t="e">
        <f>RANK(M99,$AB$19:$AB$150,0)</f>
        <v>#N/A</v>
      </c>
      <c r="N100" s="76" t="e">
        <f>RANK(N99,$AC$19:$AC$160,0)</f>
        <v>#N/A</v>
      </c>
      <c r="O100" s="76" t="e">
        <f>RANK(O99,$AD$19:$AD$160,0)</f>
        <v>#N/A</v>
      </c>
      <c r="P100" s="98"/>
      <c r="Q100" s="50"/>
      <c r="R100" s="77"/>
      <c r="S100" s="31" t="e">
        <f>$A96</f>
        <v>#N/A</v>
      </c>
      <c r="T100" s="31">
        <v>5</v>
      </c>
      <c r="U100" s="83"/>
      <c r="V100" s="78"/>
      <c r="W100" s="78"/>
      <c r="X100" s="78"/>
      <c r="Y100" s="78"/>
      <c r="Z100" s="78"/>
      <c r="AA100" s="78"/>
      <c r="AB100" s="79"/>
      <c r="AC100" s="79"/>
      <c r="AD100" s="79"/>
      <c r="AF100" s="35"/>
      <c r="AG100" s="35"/>
      <c r="AI100" s="35"/>
    </row>
    <row r="101" spans="1:35" s="60" customFormat="1" ht="13.5" customHeight="1" thickTop="1" x14ac:dyDescent="0.35">
      <c r="A101" s="35" t="e">
        <f>RANK(P101,$P$16:$P$160,0)</f>
        <v>#N/A</v>
      </c>
      <c r="B101" s="35">
        <v>106</v>
      </c>
      <c r="C101" s="60" t="e">
        <f>VLOOKUP(B101,Уч!$A$2:$L$26,2,FALSE)</f>
        <v>#N/A</v>
      </c>
      <c r="D101" s="107" t="e">
        <f>VLOOKUP(B101,Уч!$A$2:$L$26,3,FALSE)</f>
        <v>#N/A</v>
      </c>
      <c r="E101" s="33" t="s">
        <v>28</v>
      </c>
      <c r="F101" s="61" t="e">
        <f>VLOOKUP($B101,'100 м 1'!$C$18:$I$86,5,FALSE)</f>
        <v>#N/A</v>
      </c>
      <c r="G101" s="62" t="e">
        <f>VLOOKUP($B101,'длина 2 '!$C$16:$O$54,11,FALSE)</f>
        <v>#N/A</v>
      </c>
      <c r="H101" s="62" t="e">
        <f>VLOOKUP($B101,'ядро 2'!$C$16:$K$60,8,FALSE)</f>
        <v>#N/A</v>
      </c>
      <c r="I101" s="62" t="e">
        <f>VLOOKUP($B101,'высота 2'!$C$16:$AF$57,13,FALSE)</f>
        <v>#N/A</v>
      </c>
      <c r="J101" s="62" t="e">
        <f>VLOOKUP($B101,'4_р'!$C$17:$H$73,5,FALSE)</f>
        <v>#N/A</v>
      </c>
      <c r="K101" s="62" t="e">
        <f>VLOOKUP($B101,'1cб_р'!$C$17:$I$63,5,FALSE)</f>
        <v>#N/A</v>
      </c>
      <c r="L101" s="62" t="e">
        <f>VLOOKUP($B101,Дс_р!$C$16:$K$70,8,FALSE)</f>
        <v>#N/A</v>
      </c>
      <c r="M101" s="62" t="e">
        <f>VLOOKUP($B101,Ш_р!$C$15:$AF$69,17,FALSE)</f>
        <v>#N/A</v>
      </c>
      <c r="N101" s="62" t="e">
        <f>VLOOKUP($B101,К_р!$C$15:$K$68,8,FALSE)</f>
        <v>#N/A</v>
      </c>
      <c r="O101" s="70" t="e">
        <f>VLOOKUP($B101,'15_р'!$C$17:$H$86,5,FALSE)</f>
        <v>#N/A</v>
      </c>
      <c r="P101" s="97" t="e">
        <f>SUM(F103:O103)</f>
        <v>#N/A</v>
      </c>
      <c r="Q101" s="35" t="e">
        <f>LOOKUP(P101,$V$1:$V$7,$W$1:$W$7)</f>
        <v>#N/A</v>
      </c>
      <c r="R101" s="35"/>
      <c r="S101" s="31" t="e">
        <f>$A101</f>
        <v>#N/A</v>
      </c>
      <c r="T101" s="31">
        <v>1</v>
      </c>
      <c r="U101" s="83"/>
      <c r="V101" s="78"/>
      <c r="W101" s="78"/>
      <c r="X101" s="78"/>
      <c r="Y101" s="78"/>
      <c r="Z101" s="78"/>
      <c r="AA101" s="78"/>
      <c r="AB101" s="79"/>
      <c r="AC101" s="79"/>
      <c r="AD101" s="79"/>
      <c r="AF101" s="35"/>
      <c r="AG101" s="35"/>
      <c r="AI101" s="35"/>
    </row>
    <row r="102" spans="1:35" s="60" customFormat="1" ht="13.5" customHeight="1" x14ac:dyDescent="0.35">
      <c r="A102" s="35"/>
      <c r="B102" s="35"/>
      <c r="C102" s="66" t="e">
        <f>VLOOKUP(B101,Уч!$A$2:$L$26,5,FALSE)</f>
        <v>#N/A</v>
      </c>
      <c r="D102" s="107" t="e">
        <f>VLOOKUP(B101,Уч!$A$2:$L$26,4,FALSE)</f>
        <v>#N/A</v>
      </c>
      <c r="E102" s="33" t="s">
        <v>97</v>
      </c>
      <c r="F102" s="68" t="e">
        <f>VLOOKUP($B101,'100 м 1'!$C$18:$I$86,6,FALSE)</f>
        <v>#N/A</v>
      </c>
      <c r="G102" s="69" t="e">
        <f>VLOOKUP($B101,'длина 2 '!$C$16:$O$54,12,FALSE)</f>
        <v>#N/A</v>
      </c>
      <c r="H102" s="70"/>
      <c r="I102" s="69"/>
      <c r="J102" s="69"/>
      <c r="K102" s="69" t="e">
        <f>VLOOKUP($B101,'1cб_р'!$C$17:$I$63,6,FALSE)</f>
        <v>#N/A</v>
      </c>
      <c r="L102" s="69"/>
      <c r="M102" s="69"/>
      <c r="N102" s="70"/>
      <c r="O102" s="70"/>
      <c r="P102" s="97"/>
      <c r="Q102" s="80"/>
      <c r="R102" s="63"/>
      <c r="S102" s="31" t="e">
        <f>$A101</f>
        <v>#N/A</v>
      </c>
      <c r="T102" s="31">
        <v>2</v>
      </c>
      <c r="U102" s="83"/>
      <c r="V102" s="78"/>
      <c r="W102" s="78"/>
      <c r="X102" s="78"/>
      <c r="Y102" s="78"/>
      <c r="Z102" s="78"/>
      <c r="AA102" s="78"/>
      <c r="AB102" s="79"/>
      <c r="AC102" s="79"/>
      <c r="AD102" s="79"/>
      <c r="AF102" s="35"/>
      <c r="AG102" s="35"/>
      <c r="AI102" s="35"/>
    </row>
    <row r="103" spans="1:35" s="60" customFormat="1" ht="13.5" customHeight="1" x14ac:dyDescent="0.35">
      <c r="A103" s="35"/>
      <c r="B103" s="35"/>
      <c r="C103" s="67" t="str">
        <f>VLOOKUP(B101,Уч!$A$2:$L$26,7)</f>
        <v>ГБФСУ КО "СШОР по легкой атлетике им. В.А.Савенкова", ГАУ КО "ЦП ССК"</v>
      </c>
      <c r="D103" s="107"/>
      <c r="E103" s="33" t="s">
        <v>77</v>
      </c>
      <c r="F103" s="72" t="e">
        <f>VLOOKUP($B101,'100 м 1'!$C$18:$I$86,7,FALSE)</f>
        <v>#N/A</v>
      </c>
      <c r="G103" s="70" t="e">
        <f>VLOOKUP($B101,'длина 2 '!$C$16:$O$54,13,FALSE)</f>
        <v>#N/A</v>
      </c>
      <c r="H103" s="70" t="e">
        <f>VLOOKUP($B101,'ядро 2'!$C$16:$K$60,9,FALSE)</f>
        <v>#N/A</v>
      </c>
      <c r="I103" s="70" t="e">
        <f>VLOOKUP($B101,'высота 2'!$C$16:$AF$57,14,FALSE)</f>
        <v>#N/A</v>
      </c>
      <c r="J103" s="70" t="e">
        <f>VLOOKUP($B101,'4_р'!$C$17:$H$73,6,FALSE)</f>
        <v>#N/A</v>
      </c>
      <c r="K103" s="70" t="e">
        <f>VLOOKUP($B101,'1cб_р'!$C$17:$I$63,7,FALSE)</f>
        <v>#N/A</v>
      </c>
      <c r="L103" s="70" t="e">
        <f>VLOOKUP($B101,Дс_р!$C$16:$K$70,9,FALSE)</f>
        <v>#N/A</v>
      </c>
      <c r="M103" s="70" t="e">
        <f>VLOOKUP($B101,Ш_р!$C$15:$AF$69,18,FALSE)</f>
        <v>#N/A</v>
      </c>
      <c r="N103" s="70" t="e">
        <f>VLOOKUP($B101,К_р!$C$15:$K$68,9,FALSE)</f>
        <v>#N/A</v>
      </c>
      <c r="O103" s="70" t="e">
        <f>VLOOKUP($B101,'15_р'!$C$17:$H$86,6,FALSE)</f>
        <v>#N/A</v>
      </c>
      <c r="P103" s="97"/>
      <c r="Q103" s="80"/>
      <c r="R103" s="63"/>
      <c r="S103" s="31" t="e">
        <f>$A101</f>
        <v>#N/A</v>
      </c>
      <c r="T103" s="31">
        <v>3</v>
      </c>
      <c r="U103" s="83"/>
      <c r="V103" s="78"/>
      <c r="W103" s="78"/>
      <c r="X103" s="78"/>
      <c r="Y103" s="78"/>
      <c r="Z103" s="78"/>
      <c r="AA103" s="78"/>
      <c r="AB103" s="79"/>
      <c r="AC103" s="79"/>
      <c r="AD103" s="79"/>
      <c r="AF103" s="35"/>
      <c r="AG103" s="35"/>
      <c r="AI103" s="35"/>
    </row>
    <row r="104" spans="1:35" s="60" customFormat="1" ht="13.5" customHeight="1" x14ac:dyDescent="0.35">
      <c r="A104" s="35"/>
      <c r="B104" s="35"/>
      <c r="C104" s="66" t="e">
        <f>VLOOKUP(B101,Уч!$A$2:$L$26,11,FALSE)</f>
        <v>#N/A</v>
      </c>
      <c r="D104" s="107"/>
      <c r="E104" s="33" t="s">
        <v>98</v>
      </c>
      <c r="F104" s="72" t="e">
        <f>F103</f>
        <v>#N/A</v>
      </c>
      <c r="G104" s="70" t="e">
        <f>F104+G103</f>
        <v>#N/A</v>
      </c>
      <c r="H104" s="70" t="e">
        <f>G104+H103</f>
        <v>#N/A</v>
      </c>
      <c r="I104" s="70" t="e">
        <f>H104+I103</f>
        <v>#N/A</v>
      </c>
      <c r="J104" s="70" t="e">
        <f>SUM($F103:J103)</f>
        <v>#N/A</v>
      </c>
      <c r="K104" s="70" t="e">
        <f>SUM($F103:$K103)</f>
        <v>#N/A</v>
      </c>
      <c r="L104" s="70" t="e">
        <f>K104+L103</f>
        <v>#N/A</v>
      </c>
      <c r="M104" s="70" t="e">
        <f>L104+M103</f>
        <v>#N/A</v>
      </c>
      <c r="N104" s="70" t="e">
        <f>SUM($F103:$N103)</f>
        <v>#N/A</v>
      </c>
      <c r="O104" s="70" t="e">
        <f>SUM($F103:$O103)</f>
        <v>#N/A</v>
      </c>
      <c r="P104" s="97"/>
      <c r="Q104" s="80"/>
      <c r="R104" s="63"/>
      <c r="S104" s="31" t="e">
        <f>$A101</f>
        <v>#N/A</v>
      </c>
      <c r="T104" s="31">
        <v>4</v>
      </c>
      <c r="U104" s="63" t="e">
        <f t="shared" ref="U104:AD104" si="17">F104</f>
        <v>#N/A</v>
      </c>
      <c r="V104" s="63" t="e">
        <f t="shared" si="17"/>
        <v>#N/A</v>
      </c>
      <c r="W104" s="63" t="e">
        <f t="shared" si="17"/>
        <v>#N/A</v>
      </c>
      <c r="X104" s="63" t="e">
        <f t="shared" si="17"/>
        <v>#N/A</v>
      </c>
      <c r="Y104" s="63" t="e">
        <f t="shared" si="17"/>
        <v>#N/A</v>
      </c>
      <c r="Z104" s="63" t="e">
        <f t="shared" si="17"/>
        <v>#N/A</v>
      </c>
      <c r="AA104" s="63" t="e">
        <f t="shared" si="17"/>
        <v>#N/A</v>
      </c>
      <c r="AB104" s="63" t="e">
        <f t="shared" si="17"/>
        <v>#N/A</v>
      </c>
      <c r="AC104" s="63" t="e">
        <f t="shared" si="17"/>
        <v>#N/A</v>
      </c>
      <c r="AD104" s="63" t="e">
        <f t="shared" si="17"/>
        <v>#N/A</v>
      </c>
      <c r="AF104" s="35"/>
      <c r="AG104" s="35"/>
      <c r="AI104" s="35"/>
    </row>
    <row r="105" spans="1:35" s="60" customFormat="1" ht="13.5" customHeight="1" thickBot="1" x14ac:dyDescent="0.4">
      <c r="A105" s="73"/>
      <c r="B105" s="73"/>
      <c r="C105" s="74" t="e">
        <f>VLOOKUP(B101,Уч!$A$2:$L$26,12,FALSE)</f>
        <v>#N/A</v>
      </c>
      <c r="D105" s="108"/>
      <c r="E105" s="43" t="s">
        <v>37</v>
      </c>
      <c r="F105" s="75" t="e">
        <f>RANK(F104,$U$19:$U$160,0)</f>
        <v>#N/A</v>
      </c>
      <c r="G105" s="76" t="e">
        <f>RANK(G104,$V$19:$V$160,0)</f>
        <v>#N/A</v>
      </c>
      <c r="H105" s="76" t="e">
        <f>RANK(H104,$W$19:$W$160,0)</f>
        <v>#N/A</v>
      </c>
      <c r="I105" s="76" t="e">
        <f>RANK(I104,$X$19:$X$160,0)</f>
        <v>#N/A</v>
      </c>
      <c r="J105" s="76" t="e">
        <f>RANK(J104,$Y$19:$Y$160,0)</f>
        <v>#N/A</v>
      </c>
      <c r="K105" s="76" t="e">
        <f>RANK(K104,$Z$19:$Z$160,0)</f>
        <v>#N/A</v>
      </c>
      <c r="L105" s="76" t="e">
        <f>RANK(L104,$AA$19:$AA$160,0)</f>
        <v>#N/A</v>
      </c>
      <c r="M105" s="76" t="e">
        <f>RANK(M104,$AB$19:$AB$150,0)</f>
        <v>#N/A</v>
      </c>
      <c r="N105" s="76" t="e">
        <f>RANK(N104,$AC$19:$AC$160,0)</f>
        <v>#N/A</v>
      </c>
      <c r="O105" s="76" t="e">
        <f>RANK(O104,$AD$19:$AD$160,0)</f>
        <v>#N/A</v>
      </c>
      <c r="P105" s="98"/>
      <c r="Q105" s="81"/>
      <c r="R105" s="77"/>
      <c r="S105" s="31" t="e">
        <f>$A101</f>
        <v>#N/A</v>
      </c>
      <c r="T105" s="31">
        <v>5</v>
      </c>
      <c r="U105" s="83"/>
      <c r="V105" s="78"/>
      <c r="W105" s="78"/>
      <c r="X105" s="78"/>
      <c r="Y105" s="78"/>
      <c r="Z105" s="78"/>
      <c r="AA105" s="78"/>
      <c r="AB105" s="79"/>
      <c r="AC105" s="79"/>
      <c r="AD105" s="79"/>
      <c r="AF105" s="35"/>
      <c r="AG105" s="35"/>
      <c r="AI105" s="35"/>
    </row>
    <row r="106" spans="1:35" s="60" customFormat="1" ht="13.5" customHeight="1" thickTop="1" x14ac:dyDescent="0.35">
      <c r="A106" s="35" t="e">
        <f>RANK(P106,$P$16:$P$160,0)</f>
        <v>#N/A</v>
      </c>
      <c r="B106" s="35">
        <v>56</v>
      </c>
      <c r="C106" s="60" t="e">
        <f>VLOOKUP(B106,Уч!$A$2:$L$26,2,FALSE)</f>
        <v>#N/A</v>
      </c>
      <c r="D106" s="107" t="e">
        <f>VLOOKUP(B106,Уч!$A$2:$L$26,3,FALSE)</f>
        <v>#N/A</v>
      </c>
      <c r="E106" s="33" t="s">
        <v>28</v>
      </c>
      <c r="F106" s="61" t="e">
        <f>VLOOKUP($B106,'100 м 1'!$C$18:$I$86,5,FALSE)</f>
        <v>#N/A</v>
      </c>
      <c r="G106" s="62" t="e">
        <f>VLOOKUP($B106,'длина 2 '!$C$16:$O$54,11,FALSE)</f>
        <v>#N/A</v>
      </c>
      <c r="H106" s="62" t="e">
        <f>VLOOKUP($B106,'ядро 2'!$C$16:$K$60,8,FALSE)</f>
        <v>#N/A</v>
      </c>
      <c r="I106" s="62" t="e">
        <f>VLOOKUP($B106,'высота 2'!$C$16:$AF$42,13,FALSE)</f>
        <v>#N/A</v>
      </c>
      <c r="J106" s="62">
        <f>VLOOKUP($B106,'4_р'!$C$17:$H$73,5,FALSE)</f>
        <v>0</v>
      </c>
      <c r="K106" s="62">
        <f>VLOOKUP($B106,'1cб_р'!$C$17:$I$63,5,FALSE)</f>
        <v>0</v>
      </c>
      <c r="L106" s="62">
        <f>VLOOKUP($B106,Дс_р!$C$16:$K$70,8,FALSE)</f>
        <v>37.44</v>
      </c>
      <c r="M106" s="62">
        <f>VLOOKUP($B106,Ш_р!$C$15:$AF$69,17,FALSE)</f>
        <v>0</v>
      </c>
      <c r="N106" s="62">
        <f>VLOOKUP($B106,К_р!$C$15:$K$68,8,FALSE)</f>
        <v>46.68</v>
      </c>
      <c r="O106" s="70">
        <f>VLOOKUP($B106,'15_р'!$C$17:$H$86,5,FALSE)</f>
        <v>0</v>
      </c>
      <c r="P106" s="97" t="e">
        <f>SUM(F108:O108)</f>
        <v>#N/A</v>
      </c>
      <c r="Q106" s="35" t="e">
        <f>LOOKUP(P106,$V$1:$V$7,$W$1:$W$7)</f>
        <v>#N/A</v>
      </c>
      <c r="R106" s="35"/>
      <c r="S106" s="31" t="e">
        <f>$A106</f>
        <v>#N/A</v>
      </c>
      <c r="T106" s="31">
        <v>1</v>
      </c>
      <c r="U106" s="83"/>
      <c r="V106" s="78"/>
      <c r="W106" s="78"/>
      <c r="X106" s="78"/>
      <c r="Y106" s="78"/>
      <c r="Z106" s="78"/>
      <c r="AA106" s="78"/>
      <c r="AB106" s="79"/>
      <c r="AC106" s="79"/>
      <c r="AD106" s="79"/>
      <c r="AF106" s="35"/>
      <c r="AG106" s="35"/>
      <c r="AI106" s="35"/>
    </row>
    <row r="107" spans="1:35" s="60" customFormat="1" ht="13.5" customHeight="1" x14ac:dyDescent="0.35">
      <c r="A107" s="35"/>
      <c r="B107" s="35"/>
      <c r="C107" s="66" t="e">
        <f>VLOOKUP(B106,Уч!$A$2:$L$26,5,FALSE)</f>
        <v>#N/A</v>
      </c>
      <c r="D107" s="107" t="e">
        <f>VLOOKUP(B106,Уч!$A$2:$L$26,4,FALSE)</f>
        <v>#N/A</v>
      </c>
      <c r="E107" s="33" t="s">
        <v>97</v>
      </c>
      <c r="F107" s="68" t="e">
        <f>VLOOKUP($B106,'100 м 1'!$C$18:$I$86,6,FALSE)</f>
        <v>#N/A</v>
      </c>
      <c r="G107" s="69" t="e">
        <f>VLOOKUP($B106,'длина 2 '!$C$16:$O$54,12,FALSE)</f>
        <v>#N/A</v>
      </c>
      <c r="H107" s="70"/>
      <c r="I107" s="69"/>
      <c r="J107" s="69"/>
      <c r="K107" s="69">
        <f>VLOOKUP($B106,'1cб_р'!$C$17:$I$63,6,FALSE)</f>
        <v>0</v>
      </c>
      <c r="L107" s="69"/>
      <c r="M107" s="69"/>
      <c r="N107" s="70"/>
      <c r="O107" s="70"/>
      <c r="P107" s="97"/>
      <c r="Q107" s="34"/>
      <c r="R107" s="63"/>
      <c r="S107" s="31" t="e">
        <f>$A106</f>
        <v>#N/A</v>
      </c>
      <c r="T107" s="31">
        <v>2</v>
      </c>
      <c r="U107" s="83"/>
      <c r="V107" s="78"/>
      <c r="W107" s="78"/>
      <c r="X107" s="78"/>
      <c r="Y107" s="78"/>
      <c r="Z107" s="78"/>
      <c r="AA107" s="78"/>
      <c r="AB107" s="79"/>
      <c r="AC107" s="79"/>
      <c r="AD107" s="79"/>
      <c r="AF107" s="35"/>
      <c r="AG107" s="35"/>
      <c r="AI107" s="35"/>
    </row>
    <row r="108" spans="1:35" s="60" customFormat="1" ht="13.5" customHeight="1" x14ac:dyDescent="0.35">
      <c r="A108" s="35"/>
      <c r="B108" s="35"/>
      <c r="C108" s="67" t="str">
        <f>VLOOKUP(B106,Уч!$A$2:$L$26,7)</f>
        <v>МБУ ДО ДЮСШ №6</v>
      </c>
      <c r="D108" s="107"/>
      <c r="E108" s="33" t="s">
        <v>77</v>
      </c>
      <c r="F108" s="72" t="e">
        <f>VLOOKUP($B106,'100 м 1'!$C$18:$I$86,7,FALSE)</f>
        <v>#N/A</v>
      </c>
      <c r="G108" s="70" t="e">
        <f>VLOOKUP($B106,'длина 2 '!$C$16:$O$54,13,FALSE)</f>
        <v>#N/A</v>
      </c>
      <c r="H108" s="70" t="e">
        <f>VLOOKUP($B106,'ядро 2'!$C$16:$K$60,9,FALSE)</f>
        <v>#N/A</v>
      </c>
      <c r="I108" s="70" t="e">
        <f>VLOOKUP($B106,'высота 2'!$C$16:$AF$42,14,FALSE)</f>
        <v>#N/A</v>
      </c>
      <c r="J108" s="70">
        <f>VLOOKUP($B106,'4_р'!$C$17:$H$73,6,FALSE)</f>
        <v>0</v>
      </c>
      <c r="K108" s="70">
        <f>VLOOKUP($B106,'1cб_р'!$C$17:$I$63,7,FALSE)</f>
        <v>0</v>
      </c>
      <c r="L108" s="70">
        <f>VLOOKUP($B106,Дс_р!$C$16:$K$70,9,FALSE)</f>
        <v>613</v>
      </c>
      <c r="M108" s="70">
        <f>VLOOKUP($B106,Ш_р!$C$15:$AF$69,18,FALSE)</f>
        <v>0</v>
      </c>
      <c r="N108" s="70">
        <f>VLOOKUP($B106,К_р!$C$15:$K$68,9,FALSE)</f>
        <v>540</v>
      </c>
      <c r="O108" s="70">
        <f>VLOOKUP($B106,'15_р'!$C$17:$H$86,6,FALSE)</f>
        <v>0</v>
      </c>
      <c r="P108" s="97"/>
      <c r="Q108" s="34"/>
      <c r="R108" s="63"/>
      <c r="S108" s="31" t="e">
        <f>$A106</f>
        <v>#N/A</v>
      </c>
      <c r="T108" s="31">
        <v>3</v>
      </c>
      <c r="U108" s="83"/>
      <c r="V108" s="78"/>
      <c r="W108" s="78"/>
      <c r="X108" s="78"/>
      <c r="Y108" s="78"/>
      <c r="Z108" s="78"/>
      <c r="AA108" s="78"/>
      <c r="AB108" s="79"/>
      <c r="AC108" s="79"/>
      <c r="AD108" s="79"/>
      <c r="AF108" s="35"/>
      <c r="AG108" s="35"/>
      <c r="AI108" s="35"/>
    </row>
    <row r="109" spans="1:35" s="60" customFormat="1" ht="13.5" customHeight="1" x14ac:dyDescent="0.35">
      <c r="A109" s="35"/>
      <c r="B109" s="35"/>
      <c r="C109" s="66" t="e">
        <f>VLOOKUP(B106,Уч!$A$2:$L$26,11,FALSE)</f>
        <v>#N/A</v>
      </c>
      <c r="D109" s="107"/>
      <c r="E109" s="33" t="s">
        <v>98</v>
      </c>
      <c r="F109" s="72" t="e">
        <f>F108</f>
        <v>#N/A</v>
      </c>
      <c r="G109" s="70" t="e">
        <f>F109+G108</f>
        <v>#N/A</v>
      </c>
      <c r="H109" s="70" t="e">
        <f>G109+H108</f>
        <v>#N/A</v>
      </c>
      <c r="I109" s="70" t="e">
        <f>H109+I108</f>
        <v>#N/A</v>
      </c>
      <c r="J109" s="70" t="e">
        <f>SUM($F108:J108)</f>
        <v>#N/A</v>
      </c>
      <c r="K109" s="70" t="e">
        <f>SUM($F108:$K108)</f>
        <v>#N/A</v>
      </c>
      <c r="L109" s="70" t="e">
        <f>K109+L108</f>
        <v>#N/A</v>
      </c>
      <c r="M109" s="70" t="e">
        <f>L109+M108</f>
        <v>#N/A</v>
      </c>
      <c r="N109" s="70" t="e">
        <f>SUM($F108:$N108)</f>
        <v>#N/A</v>
      </c>
      <c r="O109" s="70" t="e">
        <f>SUM($F108:$O108)</f>
        <v>#N/A</v>
      </c>
      <c r="P109" s="97"/>
      <c r="Q109" s="80"/>
      <c r="R109" s="63"/>
      <c r="S109" s="31" t="e">
        <f>$A106</f>
        <v>#N/A</v>
      </c>
      <c r="T109" s="31">
        <v>4</v>
      </c>
      <c r="U109" s="63" t="e">
        <f t="shared" ref="U109:AD109" si="18">F109</f>
        <v>#N/A</v>
      </c>
      <c r="V109" s="63" t="e">
        <f t="shared" si="18"/>
        <v>#N/A</v>
      </c>
      <c r="W109" s="63" t="e">
        <f t="shared" si="18"/>
        <v>#N/A</v>
      </c>
      <c r="X109" s="63" t="e">
        <f t="shared" si="18"/>
        <v>#N/A</v>
      </c>
      <c r="Y109" s="63" t="e">
        <f t="shared" si="18"/>
        <v>#N/A</v>
      </c>
      <c r="Z109" s="63" t="e">
        <f t="shared" si="18"/>
        <v>#N/A</v>
      </c>
      <c r="AA109" s="63" t="e">
        <f t="shared" si="18"/>
        <v>#N/A</v>
      </c>
      <c r="AB109" s="63" t="e">
        <f t="shared" si="18"/>
        <v>#N/A</v>
      </c>
      <c r="AC109" s="63" t="e">
        <f t="shared" si="18"/>
        <v>#N/A</v>
      </c>
      <c r="AD109" s="63" t="e">
        <f t="shared" si="18"/>
        <v>#N/A</v>
      </c>
      <c r="AF109" s="35"/>
      <c r="AG109" s="35"/>
      <c r="AI109" s="35"/>
    </row>
    <row r="110" spans="1:35" s="60" customFormat="1" ht="13.5" customHeight="1" thickBot="1" x14ac:dyDescent="0.4">
      <c r="A110" s="73"/>
      <c r="B110" s="73"/>
      <c r="C110" s="74" t="e">
        <f>VLOOKUP(B106,Уч!$A$2:$L$26,12,FALSE)</f>
        <v>#N/A</v>
      </c>
      <c r="D110" s="108"/>
      <c r="E110" s="43" t="s">
        <v>37</v>
      </c>
      <c r="F110" s="75" t="e">
        <f>RANK(F109,$U$19:$U$160,0)</f>
        <v>#N/A</v>
      </c>
      <c r="G110" s="76" t="e">
        <f>RANK(G109,$V$19:$V$160,0)</f>
        <v>#N/A</v>
      </c>
      <c r="H110" s="76" t="e">
        <f>RANK(H109,$W$19:$W$160,0)</f>
        <v>#N/A</v>
      </c>
      <c r="I110" s="76" t="e">
        <f>RANK(I109,$X$19:$X$160,0)</f>
        <v>#N/A</v>
      </c>
      <c r="J110" s="76" t="e">
        <f>RANK(J109,$Y$19:$Y$160,0)</f>
        <v>#N/A</v>
      </c>
      <c r="K110" s="76" t="e">
        <f>RANK(K109,$Z$19:$Z$160,0)</f>
        <v>#N/A</v>
      </c>
      <c r="L110" s="76" t="e">
        <f>RANK(L109,$AA$19:$AA$160,0)</f>
        <v>#N/A</v>
      </c>
      <c r="M110" s="76" t="e">
        <f>RANK(M109,$AB$19:$AB$150,0)</f>
        <v>#N/A</v>
      </c>
      <c r="N110" s="76" t="e">
        <f>RANK(N109,$AC$19:$AC$160,0)</f>
        <v>#N/A</v>
      </c>
      <c r="O110" s="76" t="e">
        <f>RANK(O109,$AD$19:$AD$160,0)</f>
        <v>#N/A</v>
      </c>
      <c r="P110" s="98"/>
      <c r="Q110" s="81"/>
      <c r="R110" s="77"/>
      <c r="S110" s="31" t="e">
        <f>$A106</f>
        <v>#N/A</v>
      </c>
      <c r="T110" s="31">
        <v>5</v>
      </c>
      <c r="U110" s="83"/>
      <c r="V110" s="78"/>
      <c r="W110" s="78"/>
      <c r="X110" s="78"/>
      <c r="Y110" s="78"/>
      <c r="Z110" s="78"/>
      <c r="AA110" s="78"/>
      <c r="AB110" s="79"/>
      <c r="AC110" s="79"/>
      <c r="AD110" s="79"/>
      <c r="AF110" s="35"/>
      <c r="AG110" s="35"/>
      <c r="AI110" s="35"/>
    </row>
    <row r="111" spans="1:35" s="60" customFormat="1" ht="13.5" customHeight="1" thickTop="1" x14ac:dyDescent="0.35">
      <c r="A111" s="35" t="e">
        <f>RANK(P111,$P$16:$P$160,0)</f>
        <v>#N/A</v>
      </c>
      <c r="B111" s="35">
        <v>55</v>
      </c>
      <c r="C111" s="60" t="e">
        <f>VLOOKUP(B111,Уч!$A$2:$L$26,2,FALSE)</f>
        <v>#N/A</v>
      </c>
      <c r="D111" s="107" t="e">
        <f>VLOOKUP(B111,Уч!$A$2:$L$26,3,FALSE)</f>
        <v>#N/A</v>
      </c>
      <c r="E111" s="33" t="s">
        <v>28</v>
      </c>
      <c r="F111" s="61" t="e">
        <f>VLOOKUP($B111,'100 м 1'!$C$18:$I$86,5,FALSE)</f>
        <v>#N/A</v>
      </c>
      <c r="G111" s="62" t="e">
        <f>VLOOKUP($B111,'длина 2 '!$C$16:$O$54,11,FALSE)</f>
        <v>#N/A</v>
      </c>
      <c r="H111" s="62" t="e">
        <f>VLOOKUP($B111,'ядро 2'!$C$16:$K$60,8,FALSE)</f>
        <v>#N/A</v>
      </c>
      <c r="I111" s="62" t="e">
        <f>VLOOKUP($B111,'высота 2'!$C$16:$AF$57,13,FALSE)</f>
        <v>#N/A</v>
      </c>
      <c r="J111" s="62" t="e">
        <f>VLOOKUP($B111,'4_р'!$C$17:$H$73,5,FALSE)</f>
        <v>#N/A</v>
      </c>
      <c r="K111" s="62" t="e">
        <f>VLOOKUP($B111,'1cб_р'!$C$17:$I$63,5,FALSE)</f>
        <v>#N/A</v>
      </c>
      <c r="L111" s="62" t="e">
        <f>VLOOKUP($B111,Дс_р!$C$16:$K$70,8,FALSE)</f>
        <v>#N/A</v>
      </c>
      <c r="M111" s="62" t="e">
        <f>VLOOKUP($B111,Ш_р!$C$15:$AF$69,17,FALSE)</f>
        <v>#N/A</v>
      </c>
      <c r="N111" s="62" t="e">
        <f>VLOOKUP($B111,К_р!$C$15:$K$68,8,FALSE)</f>
        <v>#N/A</v>
      </c>
      <c r="O111" s="70" t="e">
        <f>VLOOKUP($B111,'15_р'!$C$17:$H$86,5,FALSE)</f>
        <v>#N/A</v>
      </c>
      <c r="P111" s="97" t="e">
        <f>SUM(F113:O113)</f>
        <v>#N/A</v>
      </c>
      <c r="Q111" s="35" t="e">
        <f>LOOKUP(P111,$V$1:$V$7,$W$1:$W$7)</f>
        <v>#N/A</v>
      </c>
      <c r="R111" s="35"/>
      <c r="S111" s="31" t="e">
        <f>$A111</f>
        <v>#N/A</v>
      </c>
      <c r="T111" s="31">
        <v>1</v>
      </c>
      <c r="U111" s="83"/>
      <c r="V111" s="78"/>
      <c r="W111" s="78"/>
      <c r="X111" s="78"/>
      <c r="Y111" s="78"/>
      <c r="Z111" s="78"/>
      <c r="AA111" s="78"/>
      <c r="AB111" s="79"/>
      <c r="AC111" s="79"/>
      <c r="AD111" s="79"/>
      <c r="AF111" s="35"/>
      <c r="AG111" s="35"/>
      <c r="AI111" s="35"/>
    </row>
    <row r="112" spans="1:35" s="60" customFormat="1" ht="13.5" customHeight="1" x14ac:dyDescent="0.35">
      <c r="A112" s="35"/>
      <c r="B112" s="35"/>
      <c r="C112" s="66" t="e">
        <f>VLOOKUP(B111,Уч!$A$2:$L$26,5,FALSE)</f>
        <v>#N/A</v>
      </c>
      <c r="D112" s="107" t="e">
        <f>VLOOKUP(B111,Уч!$A$2:$L$26,4,FALSE)</f>
        <v>#N/A</v>
      </c>
      <c r="E112" s="33" t="s">
        <v>97</v>
      </c>
      <c r="F112" s="68" t="e">
        <f>VLOOKUP($B111,'100 м 1'!$C$18:$I$86,6,FALSE)</f>
        <v>#N/A</v>
      </c>
      <c r="G112" s="69" t="e">
        <f>VLOOKUP($B111,'длина 2 '!$C$16:$O$54,12,FALSE)</f>
        <v>#N/A</v>
      </c>
      <c r="H112" s="70"/>
      <c r="I112" s="69"/>
      <c r="J112" s="69"/>
      <c r="K112" s="69" t="e">
        <f>VLOOKUP($B111,'1cб_р'!$C$17:$I$63,6,FALSE)</f>
        <v>#N/A</v>
      </c>
      <c r="L112" s="69"/>
      <c r="M112" s="69"/>
      <c r="N112" s="70"/>
      <c r="O112" s="70"/>
      <c r="P112" s="97"/>
      <c r="Q112" s="34"/>
      <c r="R112" s="63"/>
      <c r="S112" s="31" t="e">
        <f>$A111</f>
        <v>#N/A</v>
      </c>
      <c r="T112" s="31">
        <v>2</v>
      </c>
      <c r="U112" s="83"/>
      <c r="V112" s="78"/>
      <c r="W112" s="78"/>
      <c r="X112" s="78"/>
      <c r="Y112" s="78"/>
      <c r="Z112" s="78"/>
      <c r="AA112" s="78"/>
      <c r="AB112" s="79"/>
      <c r="AC112" s="79"/>
      <c r="AD112" s="79"/>
      <c r="AF112" s="35"/>
      <c r="AG112" s="35"/>
      <c r="AI112" s="35"/>
    </row>
    <row r="113" spans="1:35" s="60" customFormat="1" ht="13.5" customHeight="1" x14ac:dyDescent="0.35">
      <c r="A113" s="35"/>
      <c r="B113" s="35"/>
      <c r="C113" s="67" t="str">
        <f>VLOOKUP(B111,Уч!$A$2:$L$26,7)</f>
        <v>МБУ ДО ДЮСШ №6</v>
      </c>
      <c r="D113" s="107"/>
      <c r="E113" s="33" t="s">
        <v>77</v>
      </c>
      <c r="F113" s="72" t="e">
        <f>VLOOKUP($B111,'100 м 1'!$C$18:$I$86,7,FALSE)</f>
        <v>#N/A</v>
      </c>
      <c r="G113" s="70" t="e">
        <f>VLOOKUP($B111,'длина 2 '!$C$16:$O$54,13,FALSE)</f>
        <v>#N/A</v>
      </c>
      <c r="H113" s="70" t="e">
        <f>VLOOKUP($B111,'ядро 2'!$C$16:$K$60,9,FALSE)</f>
        <v>#N/A</v>
      </c>
      <c r="I113" s="70" t="e">
        <f>VLOOKUP($B111,'высота 2'!$C$16:$AF$57,14,FALSE)</f>
        <v>#N/A</v>
      </c>
      <c r="J113" s="70" t="e">
        <f>VLOOKUP($B111,'4_р'!$C$17:$H$73,6,FALSE)</f>
        <v>#N/A</v>
      </c>
      <c r="K113" s="70" t="e">
        <f>VLOOKUP($B111,'1cб_р'!$C$17:$I$63,7,FALSE)</f>
        <v>#N/A</v>
      </c>
      <c r="L113" s="70" t="e">
        <f>VLOOKUP($B111,Дс_р!$C$16:$K$70,9,FALSE)</f>
        <v>#N/A</v>
      </c>
      <c r="M113" s="70" t="e">
        <f>VLOOKUP($B111,Ш_р!$C$15:$AF$69,18,FALSE)</f>
        <v>#N/A</v>
      </c>
      <c r="N113" s="70" t="e">
        <f>VLOOKUP($B111,К_р!$C$15:$K$68,9,FALSE)</f>
        <v>#N/A</v>
      </c>
      <c r="O113" s="70" t="e">
        <f>VLOOKUP($B111,'15_р'!$C$17:$H$86,6,FALSE)</f>
        <v>#N/A</v>
      </c>
      <c r="P113" s="97"/>
      <c r="Q113" s="34"/>
      <c r="R113" s="63"/>
      <c r="S113" s="31" t="e">
        <f>$A111</f>
        <v>#N/A</v>
      </c>
      <c r="T113" s="31">
        <v>3</v>
      </c>
      <c r="U113" s="83"/>
      <c r="V113" s="78"/>
      <c r="W113" s="78"/>
      <c r="X113" s="78"/>
      <c r="Y113" s="78"/>
      <c r="Z113" s="78"/>
      <c r="AA113" s="78"/>
      <c r="AB113" s="79"/>
      <c r="AC113" s="79"/>
      <c r="AD113" s="79"/>
      <c r="AF113" s="35"/>
      <c r="AG113" s="35"/>
      <c r="AI113" s="35"/>
    </row>
    <row r="114" spans="1:35" s="60" customFormat="1" ht="13.5" customHeight="1" x14ac:dyDescent="0.35">
      <c r="A114" s="35"/>
      <c r="B114" s="35"/>
      <c r="C114" s="66" t="e">
        <f>VLOOKUP(B111,Уч!$A$2:$L$26,11,FALSE)</f>
        <v>#N/A</v>
      </c>
      <c r="D114" s="107"/>
      <c r="E114" s="33" t="s">
        <v>98</v>
      </c>
      <c r="F114" s="72" t="e">
        <f>F113</f>
        <v>#N/A</v>
      </c>
      <c r="G114" s="70" t="e">
        <f>F114+G113</f>
        <v>#N/A</v>
      </c>
      <c r="H114" s="70" t="e">
        <f>G114+H113</f>
        <v>#N/A</v>
      </c>
      <c r="I114" s="70" t="e">
        <f>H114+I113</f>
        <v>#N/A</v>
      </c>
      <c r="J114" s="70" t="e">
        <f>SUM($F113:J113)</f>
        <v>#N/A</v>
      </c>
      <c r="K114" s="70" t="e">
        <f>SUM($F113:$K113)</f>
        <v>#N/A</v>
      </c>
      <c r="L114" s="70" t="e">
        <f>K114+L113</f>
        <v>#N/A</v>
      </c>
      <c r="M114" s="70" t="e">
        <f>L114+M113</f>
        <v>#N/A</v>
      </c>
      <c r="N114" s="70" t="e">
        <f>SUM($F113:$N113)</f>
        <v>#N/A</v>
      </c>
      <c r="O114" s="70" t="e">
        <f>SUM($F113:$O113)</f>
        <v>#N/A</v>
      </c>
      <c r="P114" s="97"/>
      <c r="Q114" s="80"/>
      <c r="R114" s="63"/>
      <c r="S114" s="31" t="e">
        <f>$A111</f>
        <v>#N/A</v>
      </c>
      <c r="T114" s="31">
        <v>4</v>
      </c>
      <c r="U114" s="63" t="e">
        <f t="shared" ref="U114:AD114" si="19">F114</f>
        <v>#N/A</v>
      </c>
      <c r="V114" s="63" t="e">
        <f t="shared" si="19"/>
        <v>#N/A</v>
      </c>
      <c r="W114" s="63" t="e">
        <f t="shared" si="19"/>
        <v>#N/A</v>
      </c>
      <c r="X114" s="63" t="e">
        <f t="shared" si="19"/>
        <v>#N/A</v>
      </c>
      <c r="Y114" s="63" t="e">
        <f t="shared" si="19"/>
        <v>#N/A</v>
      </c>
      <c r="Z114" s="63" t="e">
        <f t="shared" si="19"/>
        <v>#N/A</v>
      </c>
      <c r="AA114" s="63" t="e">
        <f t="shared" si="19"/>
        <v>#N/A</v>
      </c>
      <c r="AB114" s="63" t="e">
        <f t="shared" si="19"/>
        <v>#N/A</v>
      </c>
      <c r="AC114" s="63" t="e">
        <f t="shared" si="19"/>
        <v>#N/A</v>
      </c>
      <c r="AD114" s="63" t="e">
        <f t="shared" si="19"/>
        <v>#N/A</v>
      </c>
      <c r="AF114" s="35"/>
      <c r="AG114" s="35"/>
      <c r="AI114" s="35"/>
    </row>
    <row r="115" spans="1:35" s="60" customFormat="1" ht="13.5" customHeight="1" thickBot="1" x14ac:dyDescent="0.4">
      <c r="A115" s="73"/>
      <c r="B115" s="73"/>
      <c r="C115" s="74" t="e">
        <f>VLOOKUP(B111,Уч!$A$2:$L$26,12,FALSE)</f>
        <v>#N/A</v>
      </c>
      <c r="D115" s="108"/>
      <c r="E115" s="43" t="s">
        <v>37</v>
      </c>
      <c r="F115" s="75" t="e">
        <f>RANK(F114,$U$19:$U$160,0)</f>
        <v>#N/A</v>
      </c>
      <c r="G115" s="76" t="e">
        <f>RANK(G114,$V$19:$V$160,0)</f>
        <v>#N/A</v>
      </c>
      <c r="H115" s="76" t="e">
        <f>RANK(H114,$W$19:$W$160,0)</f>
        <v>#N/A</v>
      </c>
      <c r="I115" s="76" t="e">
        <f>RANK(I114,$X$19:$X$160,0)</f>
        <v>#N/A</v>
      </c>
      <c r="J115" s="76" t="e">
        <f>RANK(J114,$Y$19:$Y$160,0)</f>
        <v>#N/A</v>
      </c>
      <c r="K115" s="76" t="e">
        <f>RANK(K114,$Z$19:$Z$160,0)</f>
        <v>#N/A</v>
      </c>
      <c r="L115" s="76" t="e">
        <f>RANK(L114,$AA$19:$AA$160,0)</f>
        <v>#N/A</v>
      </c>
      <c r="M115" s="76" t="e">
        <f>RANK(M114,$AB$19:$AB$150,0)</f>
        <v>#N/A</v>
      </c>
      <c r="N115" s="76" t="e">
        <f>RANK(N114,$AC$19:$AC$160,0)</f>
        <v>#N/A</v>
      </c>
      <c r="O115" s="76" t="e">
        <f>RANK(O114,$AD$19:$AD$160,0)</f>
        <v>#N/A</v>
      </c>
      <c r="P115" s="98"/>
      <c r="Q115" s="81"/>
      <c r="R115" s="77"/>
      <c r="S115" s="31" t="e">
        <f>$A111</f>
        <v>#N/A</v>
      </c>
      <c r="T115" s="31">
        <v>5</v>
      </c>
      <c r="U115" s="83"/>
      <c r="V115" s="78"/>
      <c r="W115" s="78"/>
      <c r="X115" s="78"/>
      <c r="Y115" s="78"/>
      <c r="Z115" s="78"/>
      <c r="AA115" s="78"/>
      <c r="AB115" s="79"/>
      <c r="AC115" s="79"/>
      <c r="AD115" s="79"/>
      <c r="AF115" s="35"/>
      <c r="AG115" s="35"/>
      <c r="AI115" s="35"/>
    </row>
    <row r="116" spans="1:35" s="60" customFormat="1" ht="13.5" customHeight="1" thickTop="1" x14ac:dyDescent="0.35">
      <c r="A116" s="35" t="e">
        <f>RANK(P116,$P$16:$P$160,0)</f>
        <v>#N/A</v>
      </c>
      <c r="B116" s="35">
        <v>35</v>
      </c>
      <c r="C116" s="60" t="e">
        <f>VLOOKUP(B116,Уч!$A$2:$L$26,2,FALSE)</f>
        <v>#N/A</v>
      </c>
      <c r="D116" s="107" t="e">
        <f>VLOOKUP(B116,Уч!$A$2:$L$26,3,FALSE)</f>
        <v>#N/A</v>
      </c>
      <c r="E116" s="33" t="s">
        <v>28</v>
      </c>
      <c r="F116" s="61" t="e">
        <f>VLOOKUP($B116,'100 м 1'!$C$18:$I$86,5,FALSE)</f>
        <v>#N/A</v>
      </c>
      <c r="G116" s="62" t="e">
        <f>VLOOKUP($B116,'длина 2 '!$C$16:$O$54,11,FALSE)</f>
        <v>#N/A</v>
      </c>
      <c r="H116" s="62" t="e">
        <f>VLOOKUP($B116,'ядро 2'!$C$16:$K$60,8,FALSE)</f>
        <v>#N/A</v>
      </c>
      <c r="I116" s="62" t="e">
        <f>VLOOKUP($B116,'высота 2'!$C$16:$AF$42,13,FALSE)</f>
        <v>#N/A</v>
      </c>
      <c r="J116" s="62">
        <f>VLOOKUP($B116,'4_р'!$C$17:$H$73,5,FALSE)</f>
        <v>51.77</v>
      </c>
      <c r="K116" s="62">
        <f>VLOOKUP($B116,'1cб_р'!$C$17:$I$63,5,FALSE)</f>
        <v>16.32</v>
      </c>
      <c r="L116" s="62">
        <f>VLOOKUP($B116,Дс_р!$C$16:$K$70,8,FALSE)</f>
        <v>36</v>
      </c>
      <c r="M116" s="62">
        <f>VLOOKUP($B116,Ш_р!$C$15:$AF$69,17,FALSE)</f>
        <v>0</v>
      </c>
      <c r="N116" s="62">
        <f>VLOOKUP($B116,К_р!$C$15:$K$68,8,FALSE)</f>
        <v>49</v>
      </c>
      <c r="O116" s="70" t="str">
        <f>VLOOKUP($B116,'15_р'!$C$17:$H$86,5,FALSE)</f>
        <v>4:36.19</v>
      </c>
      <c r="P116" s="97" t="e">
        <f>SUM(F118:O118)</f>
        <v>#N/A</v>
      </c>
      <c r="Q116" s="35" t="e">
        <f>LOOKUP(P116,$V$1:$V$7,$W$1:$W$7)</f>
        <v>#N/A</v>
      </c>
      <c r="R116" s="35"/>
      <c r="S116" s="31">
        <v>21</v>
      </c>
      <c r="T116" s="31">
        <v>1</v>
      </c>
      <c r="U116" s="64"/>
      <c r="V116" s="64"/>
      <c r="W116" s="64"/>
      <c r="X116" s="64"/>
      <c r="Y116" s="64"/>
      <c r="Z116" s="64"/>
      <c r="AA116" s="64"/>
      <c r="AB116" s="64"/>
      <c r="AC116" s="64"/>
      <c r="AD116" s="64"/>
      <c r="AF116" s="35"/>
      <c r="AG116" s="35"/>
      <c r="AI116" s="35"/>
    </row>
    <row r="117" spans="1:35" s="60" customFormat="1" ht="13.5" customHeight="1" x14ac:dyDescent="0.35">
      <c r="A117" s="35"/>
      <c r="B117" s="35"/>
      <c r="C117" s="66" t="e">
        <f>VLOOKUP(B116,Уч!$A$2:$L$26,5,FALSE)</f>
        <v>#N/A</v>
      </c>
      <c r="D117" s="109" t="e">
        <f>VLOOKUP(B116,Уч!$A$2:$L$26,4,FALSE)</f>
        <v>#N/A</v>
      </c>
      <c r="E117" s="33" t="s">
        <v>97</v>
      </c>
      <c r="F117" s="68" t="e">
        <f>VLOOKUP($B116,'100 м 1'!$C$18:$I$86,6,FALSE)</f>
        <v>#N/A</v>
      </c>
      <c r="G117" s="69" t="e">
        <f>VLOOKUP($B116,'длина 2 '!$C$16:$O$54,12,FALSE)</f>
        <v>#N/A</v>
      </c>
      <c r="H117" s="70"/>
      <c r="I117" s="69"/>
      <c r="J117" s="69"/>
      <c r="K117" s="69">
        <f>VLOOKUP($B116,'1cб_р'!$C$17:$I$63,6,FALSE)</f>
        <v>-1.5</v>
      </c>
      <c r="L117" s="69"/>
      <c r="M117" s="69"/>
      <c r="N117" s="70"/>
      <c r="O117" s="70"/>
      <c r="P117" s="97"/>
      <c r="Q117" s="36"/>
      <c r="R117" s="63"/>
      <c r="S117" s="31">
        <v>21</v>
      </c>
      <c r="T117" s="31">
        <v>2</v>
      </c>
      <c r="U117" s="64"/>
      <c r="V117" s="64"/>
      <c r="W117" s="64"/>
      <c r="X117" s="64"/>
      <c r="Y117" s="64"/>
      <c r="Z117" s="64"/>
      <c r="AA117" s="64"/>
      <c r="AB117" s="64"/>
      <c r="AC117" s="64"/>
      <c r="AD117" s="64"/>
      <c r="AF117" s="35"/>
      <c r="AG117" s="35"/>
      <c r="AI117" s="35"/>
    </row>
    <row r="118" spans="1:35" s="60" customFormat="1" ht="13.5" customHeight="1" x14ac:dyDescent="0.35">
      <c r="A118" s="35"/>
      <c r="B118" s="35"/>
      <c r="C118" s="67" t="e">
        <f>VLOOKUP(B116,Уч!$A$2:$L$26,7)</f>
        <v>#N/A</v>
      </c>
      <c r="D118" s="109"/>
      <c r="E118" s="33" t="s">
        <v>77</v>
      </c>
      <c r="F118" s="72" t="e">
        <f>VLOOKUP($B116,'100 м 1'!$C$18:$I$86,7,FALSE)</f>
        <v>#N/A</v>
      </c>
      <c r="G118" s="70" t="e">
        <f>VLOOKUP($B116,'длина 2 '!$C$16:$O$54,13,FALSE)</f>
        <v>#N/A</v>
      </c>
      <c r="H118" s="70" t="e">
        <f>VLOOKUP($B116,'ядро 2'!$C$16:$K$60,9,FALSE)</f>
        <v>#N/A</v>
      </c>
      <c r="I118" s="70" t="e">
        <f>VLOOKUP($B116,'высота 2'!$C$16:$AF$42,14,FALSE)</f>
        <v>#N/A</v>
      </c>
      <c r="J118" s="70">
        <f>VLOOKUP($B116,'4_р'!$C$17:$H$73,6,FALSE)</f>
        <v>735</v>
      </c>
      <c r="K118" s="70">
        <f>VLOOKUP($B116,'1cб_р'!$C$17:$I$63,7,FALSE)</f>
        <v>697</v>
      </c>
      <c r="L118" s="70">
        <f>VLOOKUP($B116,Дс_р!$C$16:$K$70,9,FALSE)</f>
        <v>584</v>
      </c>
      <c r="M118" s="70">
        <f>VLOOKUP($B116,Ш_р!$C$15:$AF$69,18,FALSE)</f>
        <v>0</v>
      </c>
      <c r="N118" s="70">
        <f>VLOOKUP($B116,К_р!$C$15:$K$68,9,FALSE)</f>
        <v>574</v>
      </c>
      <c r="O118" s="70">
        <f>VLOOKUP($B116,'15_р'!$C$17:$H$86,6,FALSE)</f>
        <v>704</v>
      </c>
      <c r="P118" s="97"/>
      <c r="Q118" s="36"/>
      <c r="R118" s="63"/>
      <c r="S118" s="31">
        <v>21</v>
      </c>
      <c r="T118" s="31">
        <v>3</v>
      </c>
      <c r="U118" s="64"/>
      <c r="V118" s="64"/>
      <c r="W118" s="64"/>
      <c r="X118" s="64"/>
      <c r="Y118" s="64"/>
      <c r="Z118" s="64"/>
      <c r="AA118" s="64"/>
      <c r="AB118" s="64"/>
      <c r="AC118" s="64"/>
      <c r="AD118" s="64"/>
      <c r="AF118" s="35"/>
      <c r="AG118" s="35"/>
      <c r="AI118" s="35"/>
    </row>
    <row r="119" spans="1:35" s="60" customFormat="1" ht="13.5" customHeight="1" x14ac:dyDescent="0.35">
      <c r="A119" s="35"/>
      <c r="B119" s="35"/>
      <c r="C119" s="66" t="e">
        <f>VLOOKUP(B116,Уч!$A$2:$L$26,11,FALSE)</f>
        <v>#N/A</v>
      </c>
      <c r="D119" s="109"/>
      <c r="E119" s="33" t="s">
        <v>98</v>
      </c>
      <c r="F119" s="72" t="e">
        <f>F118</f>
        <v>#N/A</v>
      </c>
      <c r="G119" s="70" t="e">
        <f t="shared" ref="G119:O119" si="20">F119+G118</f>
        <v>#N/A</v>
      </c>
      <c r="H119" s="70" t="e">
        <f t="shared" si="20"/>
        <v>#N/A</v>
      </c>
      <c r="I119" s="70" t="e">
        <f t="shared" si="20"/>
        <v>#N/A</v>
      </c>
      <c r="J119" s="70" t="e">
        <f t="shared" si="20"/>
        <v>#N/A</v>
      </c>
      <c r="K119" s="70" t="e">
        <f t="shared" si="20"/>
        <v>#N/A</v>
      </c>
      <c r="L119" s="70" t="e">
        <f t="shared" si="20"/>
        <v>#N/A</v>
      </c>
      <c r="M119" s="70" t="e">
        <f t="shared" si="20"/>
        <v>#N/A</v>
      </c>
      <c r="N119" s="70" t="e">
        <f t="shared" si="20"/>
        <v>#N/A</v>
      </c>
      <c r="O119" s="70" t="e">
        <f t="shared" si="20"/>
        <v>#N/A</v>
      </c>
      <c r="P119" s="97"/>
      <c r="Q119" s="36"/>
      <c r="R119" s="63"/>
      <c r="S119" s="31">
        <v>21</v>
      </c>
      <c r="T119" s="31">
        <v>4</v>
      </c>
      <c r="U119" s="63" t="e">
        <f t="shared" ref="U119:AD119" si="21">F119</f>
        <v>#N/A</v>
      </c>
      <c r="V119" s="63" t="e">
        <f t="shared" si="21"/>
        <v>#N/A</v>
      </c>
      <c r="W119" s="63" t="e">
        <f t="shared" si="21"/>
        <v>#N/A</v>
      </c>
      <c r="X119" s="63" t="e">
        <f t="shared" si="21"/>
        <v>#N/A</v>
      </c>
      <c r="Y119" s="63" t="e">
        <f t="shared" si="21"/>
        <v>#N/A</v>
      </c>
      <c r="Z119" s="63" t="e">
        <f t="shared" si="21"/>
        <v>#N/A</v>
      </c>
      <c r="AA119" s="63" t="e">
        <f t="shared" si="21"/>
        <v>#N/A</v>
      </c>
      <c r="AB119" s="63" t="e">
        <f t="shared" si="21"/>
        <v>#N/A</v>
      </c>
      <c r="AC119" s="63" t="e">
        <f t="shared" si="21"/>
        <v>#N/A</v>
      </c>
      <c r="AD119" s="63" t="e">
        <f t="shared" si="21"/>
        <v>#N/A</v>
      </c>
      <c r="AF119" s="35"/>
      <c r="AG119" s="35"/>
      <c r="AI119" s="35"/>
    </row>
    <row r="120" spans="1:35" s="60" customFormat="1" ht="13.5" customHeight="1" thickBot="1" x14ac:dyDescent="0.4">
      <c r="A120" s="73"/>
      <c r="B120" s="73"/>
      <c r="C120" s="74" t="e">
        <f>VLOOKUP(B116,Уч!$A$2:$L$26,12,FALSE)</f>
        <v>#N/A</v>
      </c>
      <c r="D120" s="110"/>
      <c r="E120" s="43" t="s">
        <v>37</v>
      </c>
      <c r="F120" s="75" t="e">
        <f>RANK(F119,$U$19:$U$160,0)</f>
        <v>#N/A</v>
      </c>
      <c r="G120" s="76" t="e">
        <f>RANK(G119,$V$19:$V$160,0)</f>
        <v>#N/A</v>
      </c>
      <c r="H120" s="76" t="e">
        <f>RANK(H119,$W$19:$W$160,0)</f>
        <v>#N/A</v>
      </c>
      <c r="I120" s="76" t="e">
        <f>RANK(I119,$X$19:$X$160,0)</f>
        <v>#N/A</v>
      </c>
      <c r="J120" s="76" t="e">
        <f>RANK(J119,$Y$19:$Y$160,0)</f>
        <v>#N/A</v>
      </c>
      <c r="K120" s="76" t="e">
        <f>RANK(K119,$Z$19:$Z$160,0)</f>
        <v>#N/A</v>
      </c>
      <c r="L120" s="76" t="e">
        <f>RANK(L119,$AA$19:$AA$160,0)</f>
        <v>#N/A</v>
      </c>
      <c r="M120" s="76" t="e">
        <f>RANK(M119,$AB$19:$AB$150,0)</f>
        <v>#N/A</v>
      </c>
      <c r="N120" s="76" t="e">
        <f>RANK(N119,$AC$19:$AC$160,0)</f>
        <v>#N/A</v>
      </c>
      <c r="O120" s="76" t="e">
        <f>RANK(O119,$AD$19:$AD$160,0)</f>
        <v>#N/A</v>
      </c>
      <c r="P120" s="98"/>
      <c r="Q120" s="50"/>
      <c r="R120" s="77"/>
      <c r="S120" s="31">
        <v>21</v>
      </c>
      <c r="T120" s="31">
        <v>5</v>
      </c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F120" s="35"/>
      <c r="AG120" s="35"/>
      <c r="AI120" s="35"/>
    </row>
    <row r="121" spans="1:35" s="60" customFormat="1" ht="13.5" customHeight="1" thickTop="1" x14ac:dyDescent="0.35">
      <c r="A121" s="35" t="e">
        <f>RANK(P121,$P$16:$P$160,0)</f>
        <v>#N/A</v>
      </c>
      <c r="B121" s="35">
        <v>69</v>
      </c>
      <c r="C121" s="60" t="e">
        <f>VLOOKUP(B121,Уч!$A$2:$L$26,2,FALSE)</f>
        <v>#N/A</v>
      </c>
      <c r="D121" s="107" t="e">
        <f>VLOOKUP(B121,Уч!$A$2:$L$26,3,FALSE)</f>
        <v>#N/A</v>
      </c>
      <c r="E121" s="33" t="s">
        <v>28</v>
      </c>
      <c r="F121" s="61" t="e">
        <f>VLOOKUP($B121,'100 м 1'!$C$18:$I$86,5,FALSE)</f>
        <v>#N/A</v>
      </c>
      <c r="G121" s="62" t="e">
        <f>VLOOKUP($B121,'длина 2 '!$C$16:$O$54,11,FALSE)</f>
        <v>#N/A</v>
      </c>
      <c r="H121" s="62" t="e">
        <f>VLOOKUP($B121,'ядро 2'!$C$16:$K$60,8,FALSE)</f>
        <v>#N/A</v>
      </c>
      <c r="I121" s="62">
        <f>VLOOKUP($B121,'высота 2'!$C$16:$AF$57,13,FALSE)</f>
        <v>0</v>
      </c>
      <c r="J121" s="62">
        <f>VLOOKUP($B121,'4_р'!$C$17:$H$73,5,FALSE)</f>
        <v>52.67</v>
      </c>
      <c r="K121" s="62">
        <f>VLOOKUP($B121,'1cб_р'!$C$17:$I$63,5,FALSE)</f>
        <v>17.38</v>
      </c>
      <c r="L121" s="62">
        <f>VLOOKUP($B121,Дс_р!$C$16:$K$70,8,FALSE)</f>
        <v>30.38</v>
      </c>
      <c r="M121" s="62">
        <f>VLOOKUP($B121,Ш_р!$C$15:$AF$69,17,FALSE)</f>
        <v>0</v>
      </c>
      <c r="N121" s="62">
        <f>VLOOKUP($B121,К_р!$C$15:$K$68,8,FALSE)</f>
        <v>42.56</v>
      </c>
      <c r="O121" s="70" t="str">
        <f>VLOOKUP($B121,'15_р'!$C$17:$H$86,5,FALSE)</f>
        <v>4:13.03</v>
      </c>
      <c r="P121" s="97" t="e">
        <f>SUM(F123:O123)</f>
        <v>#N/A</v>
      </c>
      <c r="Q121" s="35" t="e">
        <f>LOOKUP(P121,$V$1:$V$7,$W$1:$W$7)</f>
        <v>#N/A</v>
      </c>
      <c r="R121" s="35"/>
      <c r="S121" s="31" t="e">
        <f>$A121</f>
        <v>#N/A</v>
      </c>
      <c r="T121" s="31">
        <v>1</v>
      </c>
      <c r="U121" s="83"/>
      <c r="V121" s="78"/>
      <c r="W121" s="78"/>
      <c r="X121" s="78"/>
      <c r="Y121" s="78"/>
      <c r="Z121" s="78"/>
      <c r="AA121" s="78"/>
      <c r="AB121" s="79"/>
      <c r="AC121" s="79"/>
      <c r="AD121" s="79"/>
      <c r="AF121" s="35"/>
      <c r="AG121" s="35"/>
      <c r="AI121" s="35"/>
    </row>
    <row r="122" spans="1:35" s="60" customFormat="1" ht="13.5" customHeight="1" x14ac:dyDescent="0.35">
      <c r="A122" s="35"/>
      <c r="B122" s="35"/>
      <c r="C122" s="66" t="e">
        <f>VLOOKUP(B121,Уч!$A$2:$L$26,5,FALSE)</f>
        <v>#N/A</v>
      </c>
      <c r="D122" s="107" t="e">
        <f>VLOOKUP(B121,Уч!$A$2:$L$26,4,FALSE)</f>
        <v>#N/A</v>
      </c>
      <c r="E122" s="33" t="s">
        <v>97</v>
      </c>
      <c r="F122" s="68" t="e">
        <f>VLOOKUP($B121,'100 м 1'!$C$18:$I$86,6,FALSE)</f>
        <v>#N/A</v>
      </c>
      <c r="G122" s="69" t="e">
        <f>VLOOKUP($B121,'длина 2 '!$C$16:$O$54,12,FALSE)</f>
        <v>#N/A</v>
      </c>
      <c r="H122" s="70"/>
      <c r="I122" s="69"/>
      <c r="J122" s="69"/>
      <c r="K122" s="69">
        <f>VLOOKUP($B121,'1cб_р'!$C$17:$I$63,6,FALSE)</f>
        <v>0</v>
      </c>
      <c r="L122" s="69"/>
      <c r="M122" s="69"/>
      <c r="N122" s="70"/>
      <c r="O122" s="70"/>
      <c r="P122" s="97"/>
      <c r="Q122" s="34"/>
      <c r="R122" s="63"/>
      <c r="S122" s="31" t="e">
        <f>$A121</f>
        <v>#N/A</v>
      </c>
      <c r="T122" s="31">
        <v>2</v>
      </c>
      <c r="U122" s="83"/>
      <c r="V122" s="78"/>
      <c r="W122" s="78"/>
      <c r="X122" s="78"/>
      <c r="Y122" s="78"/>
      <c r="Z122" s="78"/>
      <c r="AA122" s="78"/>
      <c r="AB122" s="79"/>
      <c r="AC122" s="79"/>
      <c r="AD122" s="79"/>
      <c r="AF122" s="35"/>
      <c r="AG122" s="35"/>
      <c r="AI122" s="35"/>
    </row>
    <row r="123" spans="1:35" s="60" customFormat="1" ht="13.5" customHeight="1" x14ac:dyDescent="0.35">
      <c r="A123" s="35"/>
      <c r="B123" s="35"/>
      <c r="C123" s="67" t="str">
        <f>VLOOKUP(B121,Уч!$A$2:$L$26,7)</f>
        <v>МБУ ДО ДЮСШ №6</v>
      </c>
      <c r="D123" s="107"/>
      <c r="E123" s="33" t="s">
        <v>77</v>
      </c>
      <c r="F123" s="72" t="e">
        <f>VLOOKUP($B121,'100 м 1'!$C$18:$I$86,7,FALSE)</f>
        <v>#N/A</v>
      </c>
      <c r="G123" s="70" t="e">
        <f>VLOOKUP($B121,'длина 2 '!$C$16:$O$54,13,FALSE)</f>
        <v>#N/A</v>
      </c>
      <c r="H123" s="70" t="e">
        <f>VLOOKUP($B121,'ядро 2'!$C$16:$K$60,9,FALSE)</f>
        <v>#N/A</v>
      </c>
      <c r="I123" s="70">
        <f>VLOOKUP($B121,'высота 2'!$C$16:$AF$57,14,FALSE)</f>
        <v>0</v>
      </c>
      <c r="J123" s="70">
        <f>VLOOKUP($B121,'4_р'!$C$17:$H$73,6,FALSE)</f>
        <v>696</v>
      </c>
      <c r="K123" s="70">
        <f>VLOOKUP($B121,'1cб_р'!$C$17:$I$63,7,FALSE)</f>
        <v>585</v>
      </c>
      <c r="L123" s="70">
        <f>VLOOKUP($B121,Дс_р!$C$16:$K$70,9,FALSE)</f>
        <v>472</v>
      </c>
      <c r="M123" s="70">
        <f>VLOOKUP($B121,Ш_р!$C$15:$AF$69,18,FALSE)</f>
        <v>0</v>
      </c>
      <c r="N123" s="70">
        <f>VLOOKUP($B121,К_р!$C$15:$K$68,9,FALSE)</f>
        <v>479</v>
      </c>
      <c r="O123" s="70">
        <f>VLOOKUP($B121,'15_р'!$C$17:$H$86,6,FALSE)</f>
        <v>860</v>
      </c>
      <c r="P123" s="97"/>
      <c r="Q123" s="34"/>
      <c r="R123" s="63"/>
      <c r="S123" s="31" t="e">
        <f>$A121</f>
        <v>#N/A</v>
      </c>
      <c r="T123" s="31">
        <v>3</v>
      </c>
      <c r="U123" s="83"/>
      <c r="V123" s="78"/>
      <c r="W123" s="78"/>
      <c r="X123" s="78"/>
      <c r="Y123" s="78"/>
      <c r="Z123" s="78"/>
      <c r="AA123" s="78"/>
      <c r="AB123" s="79"/>
      <c r="AC123" s="79"/>
      <c r="AD123" s="79"/>
      <c r="AF123" s="35"/>
      <c r="AG123" s="35"/>
      <c r="AI123" s="35"/>
    </row>
    <row r="124" spans="1:35" s="60" customFormat="1" ht="13.5" customHeight="1" x14ac:dyDescent="0.35">
      <c r="A124" s="35"/>
      <c r="B124" s="35"/>
      <c r="C124" s="66" t="e">
        <f>VLOOKUP(B121,Уч!$A$2:$L$26,11,FALSE)</f>
        <v>#N/A</v>
      </c>
      <c r="D124" s="107"/>
      <c r="E124" s="33" t="s">
        <v>98</v>
      </c>
      <c r="F124" s="72" t="e">
        <f>F123</f>
        <v>#N/A</v>
      </c>
      <c r="G124" s="70" t="e">
        <f>F124+G123</f>
        <v>#N/A</v>
      </c>
      <c r="H124" s="70" t="e">
        <f>G124+H123</f>
        <v>#N/A</v>
      </c>
      <c r="I124" s="70" t="e">
        <f>H124+I123</f>
        <v>#N/A</v>
      </c>
      <c r="J124" s="70" t="e">
        <f>SUM($F123:J123)</f>
        <v>#N/A</v>
      </c>
      <c r="K124" s="70" t="e">
        <f>SUM($F123:$K123)</f>
        <v>#N/A</v>
      </c>
      <c r="L124" s="70" t="e">
        <f>K124+L123</f>
        <v>#N/A</v>
      </c>
      <c r="M124" s="70" t="e">
        <f>L124+M123</f>
        <v>#N/A</v>
      </c>
      <c r="N124" s="70" t="e">
        <f>SUM($F123:$N123)</f>
        <v>#N/A</v>
      </c>
      <c r="O124" s="70" t="e">
        <f>SUM($F123:$O123)</f>
        <v>#N/A</v>
      </c>
      <c r="P124" s="97"/>
      <c r="Q124" s="80"/>
      <c r="R124" s="63"/>
      <c r="S124" s="31" t="e">
        <f>$A121</f>
        <v>#N/A</v>
      </c>
      <c r="T124" s="31">
        <v>4</v>
      </c>
      <c r="U124" s="63" t="e">
        <f t="shared" ref="U124:AD124" si="22">F124</f>
        <v>#N/A</v>
      </c>
      <c r="V124" s="63" t="e">
        <f t="shared" si="22"/>
        <v>#N/A</v>
      </c>
      <c r="W124" s="63" t="e">
        <f t="shared" si="22"/>
        <v>#N/A</v>
      </c>
      <c r="X124" s="63" t="e">
        <f t="shared" si="22"/>
        <v>#N/A</v>
      </c>
      <c r="Y124" s="63" t="e">
        <f t="shared" si="22"/>
        <v>#N/A</v>
      </c>
      <c r="Z124" s="63" t="e">
        <f t="shared" si="22"/>
        <v>#N/A</v>
      </c>
      <c r="AA124" s="63" t="e">
        <f t="shared" si="22"/>
        <v>#N/A</v>
      </c>
      <c r="AB124" s="63" t="e">
        <f t="shared" si="22"/>
        <v>#N/A</v>
      </c>
      <c r="AC124" s="63" t="e">
        <f t="shared" si="22"/>
        <v>#N/A</v>
      </c>
      <c r="AD124" s="63" t="e">
        <f t="shared" si="22"/>
        <v>#N/A</v>
      </c>
      <c r="AF124" s="35"/>
      <c r="AG124" s="35"/>
      <c r="AI124" s="35"/>
    </row>
    <row r="125" spans="1:35" s="60" customFormat="1" ht="13.5" customHeight="1" thickBot="1" x14ac:dyDescent="0.4">
      <c r="A125" s="73"/>
      <c r="B125" s="73"/>
      <c r="C125" s="74" t="e">
        <f>VLOOKUP(B121,Уч!$A$2:$L$26,12,FALSE)</f>
        <v>#N/A</v>
      </c>
      <c r="D125" s="108"/>
      <c r="E125" s="43" t="s">
        <v>37</v>
      </c>
      <c r="F125" s="75" t="e">
        <f>RANK(F124,$U$19:$U$160,0)</f>
        <v>#N/A</v>
      </c>
      <c r="G125" s="76" t="e">
        <f>RANK(G124,$V$19:$V$160,0)</f>
        <v>#N/A</v>
      </c>
      <c r="H125" s="76" t="e">
        <f>RANK(H124,$W$19:$W$160,0)</f>
        <v>#N/A</v>
      </c>
      <c r="I125" s="76" t="e">
        <f>RANK(I124,$X$19:$X$160,0)</f>
        <v>#N/A</v>
      </c>
      <c r="J125" s="76" t="e">
        <f>RANK(J124,$Y$19:$Y$160,0)</f>
        <v>#N/A</v>
      </c>
      <c r="K125" s="76" t="e">
        <f>RANK(K124,$Z$19:$Z$160,0)</f>
        <v>#N/A</v>
      </c>
      <c r="L125" s="76" t="e">
        <f>RANK(L124,$AA$19:$AA$160,0)</f>
        <v>#N/A</v>
      </c>
      <c r="M125" s="76" t="e">
        <f>RANK(M124,$AB$19:$AB$150,0)</f>
        <v>#N/A</v>
      </c>
      <c r="N125" s="76" t="e">
        <f>RANK(N124,$AC$19:$AC$160,0)</f>
        <v>#N/A</v>
      </c>
      <c r="O125" s="76" t="e">
        <f>RANK(O124,$AD$19:$AD$160,0)</f>
        <v>#N/A</v>
      </c>
      <c r="P125" s="98"/>
      <c r="Q125" s="81"/>
      <c r="R125" s="77"/>
      <c r="S125" s="31" t="e">
        <f>$A121</f>
        <v>#N/A</v>
      </c>
      <c r="T125" s="31">
        <v>5</v>
      </c>
      <c r="U125" s="83"/>
      <c r="V125" s="78"/>
      <c r="W125" s="78"/>
      <c r="X125" s="78"/>
      <c r="Y125" s="78"/>
      <c r="Z125" s="78"/>
      <c r="AA125" s="78"/>
      <c r="AB125" s="79"/>
      <c r="AC125" s="79"/>
      <c r="AD125" s="79"/>
      <c r="AF125" s="35"/>
      <c r="AG125" s="35"/>
      <c r="AI125" s="35"/>
    </row>
    <row r="126" spans="1:35" s="60" customFormat="1" ht="13.5" customHeight="1" thickTop="1" x14ac:dyDescent="0.35">
      <c r="A126" s="35" t="e">
        <f>RANK(P126,$P$16:$P$160,0)</f>
        <v>#N/A</v>
      </c>
      <c r="B126" s="35">
        <v>97</v>
      </c>
      <c r="C126" s="60" t="e">
        <f>VLOOKUP(B126,Уч!$A$2:$L$26,2,FALSE)</f>
        <v>#N/A</v>
      </c>
      <c r="D126" s="107" t="e">
        <f>VLOOKUP(B126,Уч!$A$2:$L$26,3,FALSE)</f>
        <v>#N/A</v>
      </c>
      <c r="E126" s="33" t="s">
        <v>28</v>
      </c>
      <c r="F126" s="61" t="e">
        <f>VLOOKUP($B126,'100 м 1'!$C$18:$I$86,5,FALSE)</f>
        <v>#N/A</v>
      </c>
      <c r="G126" s="62" t="e">
        <f>VLOOKUP($B126,'длина 2 '!$C$16:$O$54,11,FALSE)</f>
        <v>#N/A</v>
      </c>
      <c r="H126" s="62" t="e">
        <f>VLOOKUP($B126,'ядро 2'!$C$16:$K$60,8,FALSE)</f>
        <v>#N/A</v>
      </c>
      <c r="I126" s="62" t="e">
        <f>VLOOKUP($B126,'высота 2'!$C$16:$AF$57,13,FALSE)</f>
        <v>#N/A</v>
      </c>
      <c r="J126" s="62" t="e">
        <f>VLOOKUP($B126,'4_р'!$C$17:$H$73,5,FALSE)</f>
        <v>#N/A</v>
      </c>
      <c r="K126" s="62" t="e">
        <f>VLOOKUP($B126,'1cб_р'!$C$17:$I$63,5,FALSE)</f>
        <v>#N/A</v>
      </c>
      <c r="L126" s="62" t="e">
        <f>VLOOKUP($B126,Дс_р!$C$16:$K$70,8,FALSE)</f>
        <v>#N/A</v>
      </c>
      <c r="M126" s="62" t="e">
        <f>VLOOKUP($B126,Ш_р!$C$15:$AF$69,17,FALSE)</f>
        <v>#N/A</v>
      </c>
      <c r="N126" s="62" t="e">
        <f>VLOOKUP($B126,К_р!$C$15:$K$68,8,FALSE)</f>
        <v>#N/A</v>
      </c>
      <c r="O126" s="70" t="e">
        <f>VLOOKUP($B126,'15_р'!$C$17:$H$86,5,FALSE)</f>
        <v>#N/A</v>
      </c>
      <c r="P126" s="97" t="e">
        <f>SUM(F128:O128)</f>
        <v>#N/A</v>
      </c>
      <c r="Q126" s="35" t="e">
        <f>LOOKUP(P126,$V$1:$V$7,$W$1:$W$7)</f>
        <v>#N/A</v>
      </c>
      <c r="R126" s="35"/>
      <c r="S126" s="31" t="e">
        <f>$A126</f>
        <v>#N/A</v>
      </c>
      <c r="T126" s="31">
        <v>1</v>
      </c>
      <c r="U126" s="83"/>
      <c r="V126" s="78"/>
      <c r="W126" s="78"/>
      <c r="X126" s="78"/>
      <c r="Y126" s="78"/>
      <c r="Z126" s="78"/>
      <c r="AA126" s="78"/>
      <c r="AB126" s="79"/>
      <c r="AC126" s="79"/>
      <c r="AD126" s="79"/>
      <c r="AF126" s="35"/>
      <c r="AG126" s="35"/>
      <c r="AI126" s="35"/>
    </row>
    <row r="127" spans="1:35" s="60" customFormat="1" ht="13.5" customHeight="1" x14ac:dyDescent="0.35">
      <c r="A127" s="35"/>
      <c r="B127" s="35"/>
      <c r="C127" s="66" t="e">
        <f>VLOOKUP(B126,Уч!$A$2:$L$26,5,FALSE)</f>
        <v>#N/A</v>
      </c>
      <c r="D127" s="109" t="e">
        <f>VLOOKUP(B126,Уч!$A$2:$L$26,4,FALSE)</f>
        <v>#N/A</v>
      </c>
      <c r="E127" s="33" t="s">
        <v>97</v>
      </c>
      <c r="F127" s="68" t="e">
        <f>VLOOKUP($B126,'100 м 1'!$C$18:$I$86,6,FALSE)</f>
        <v>#N/A</v>
      </c>
      <c r="G127" s="69" t="e">
        <f>VLOOKUP($B126,'длина 2 '!$C$16:$O$54,12,FALSE)</f>
        <v>#N/A</v>
      </c>
      <c r="H127" s="70"/>
      <c r="I127" s="69"/>
      <c r="J127" s="69"/>
      <c r="K127" s="69" t="e">
        <f>VLOOKUP($B126,'1cб_р'!$C$17:$I$63,6,FALSE)</f>
        <v>#N/A</v>
      </c>
      <c r="L127" s="69"/>
      <c r="M127" s="69"/>
      <c r="N127" s="70"/>
      <c r="O127" s="70"/>
      <c r="P127" s="97"/>
      <c r="Q127" s="36"/>
      <c r="R127" s="63"/>
      <c r="S127" s="31" t="e">
        <f>$A126</f>
        <v>#N/A</v>
      </c>
      <c r="T127" s="31">
        <v>2</v>
      </c>
      <c r="U127" s="83"/>
      <c r="V127" s="78"/>
      <c r="W127" s="78"/>
      <c r="X127" s="78"/>
      <c r="Y127" s="78"/>
      <c r="Z127" s="78"/>
      <c r="AA127" s="78"/>
      <c r="AB127" s="79"/>
      <c r="AC127" s="79"/>
      <c r="AD127" s="79"/>
      <c r="AF127" s="35"/>
      <c r="AG127" s="35"/>
      <c r="AI127" s="35"/>
    </row>
    <row r="128" spans="1:35" s="60" customFormat="1" ht="13.5" customHeight="1" x14ac:dyDescent="0.35">
      <c r="A128" s="35"/>
      <c r="B128" s="35"/>
      <c r="C128" s="67" t="str">
        <f>VLOOKUP(B126,Уч!$A$2:$L$26,7)</f>
        <v>ГБФСУ КО "СШОР по легкой атлетике им. В.А.Савенкова", ГАУ КО "ЦП ССК"</v>
      </c>
      <c r="D128" s="109"/>
      <c r="E128" s="33" t="s">
        <v>77</v>
      </c>
      <c r="F128" s="72" t="e">
        <f>VLOOKUP($B126,'100 м 1'!$C$18:$I$86,7,FALSE)</f>
        <v>#N/A</v>
      </c>
      <c r="G128" s="70" t="e">
        <f>VLOOKUP($B126,'длина 2 '!$C$16:$O$54,13,FALSE)</f>
        <v>#N/A</v>
      </c>
      <c r="H128" s="70" t="e">
        <f>VLOOKUP($B126,'ядро 2'!$C$16:$K$60,9,FALSE)</f>
        <v>#N/A</v>
      </c>
      <c r="I128" s="70" t="e">
        <f>VLOOKUP($B126,'высота 2'!$C$16:$AF$57,14,FALSE)</f>
        <v>#N/A</v>
      </c>
      <c r="J128" s="70" t="e">
        <f>VLOOKUP($B126,'4_р'!$C$17:$H$73,6,FALSE)</f>
        <v>#N/A</v>
      </c>
      <c r="K128" s="70" t="e">
        <f>VLOOKUP($B126,'1cб_р'!$C$17:$I$63,7,FALSE)</f>
        <v>#N/A</v>
      </c>
      <c r="L128" s="70" t="e">
        <f>VLOOKUP($B126,Дс_р!$C$16:$K$70,9,FALSE)</f>
        <v>#N/A</v>
      </c>
      <c r="M128" s="70" t="e">
        <f>VLOOKUP($B126,Ш_р!$C$15:$AF$69,18,FALSE)</f>
        <v>#N/A</v>
      </c>
      <c r="N128" s="70" t="e">
        <f>VLOOKUP($B126,К_р!$C$15:$K$68,9,FALSE)</f>
        <v>#N/A</v>
      </c>
      <c r="O128" s="70" t="e">
        <f>VLOOKUP($B126,'15_р'!$C$17:$H$86,6,FALSE)</f>
        <v>#N/A</v>
      </c>
      <c r="P128" s="97"/>
      <c r="Q128" s="36"/>
      <c r="R128" s="63"/>
      <c r="S128" s="31" t="e">
        <f>$A126</f>
        <v>#N/A</v>
      </c>
      <c r="T128" s="31">
        <v>3</v>
      </c>
      <c r="U128" s="83"/>
      <c r="V128" s="78"/>
      <c r="W128" s="78"/>
      <c r="X128" s="78"/>
      <c r="Y128" s="78"/>
      <c r="Z128" s="78"/>
      <c r="AA128" s="78"/>
      <c r="AB128" s="79"/>
      <c r="AC128" s="79"/>
      <c r="AD128" s="79"/>
      <c r="AF128" s="35"/>
      <c r="AG128" s="35"/>
      <c r="AI128" s="35"/>
    </row>
    <row r="129" spans="1:39" s="60" customFormat="1" ht="13.5" customHeight="1" x14ac:dyDescent="0.35">
      <c r="A129" s="35"/>
      <c r="B129" s="35"/>
      <c r="C129" s="66" t="e">
        <f>VLOOKUP(B126,Уч!$A$2:$L$26,11,FALSE)</f>
        <v>#N/A</v>
      </c>
      <c r="D129" s="109"/>
      <c r="E129" s="33" t="s">
        <v>98</v>
      </c>
      <c r="F129" s="72" t="e">
        <f>F128</f>
        <v>#N/A</v>
      </c>
      <c r="G129" s="70" t="e">
        <f>F129+G128</f>
        <v>#N/A</v>
      </c>
      <c r="H129" s="70" t="e">
        <f>G129+H128</f>
        <v>#N/A</v>
      </c>
      <c r="I129" s="70" t="e">
        <f>H129+I128</f>
        <v>#N/A</v>
      </c>
      <c r="J129" s="70" t="e">
        <f>SUM($F128:J128)</f>
        <v>#N/A</v>
      </c>
      <c r="K129" s="70" t="e">
        <f>SUM($F128:$K128)</f>
        <v>#N/A</v>
      </c>
      <c r="L129" s="70" t="e">
        <f>K129+L128</f>
        <v>#N/A</v>
      </c>
      <c r="M129" s="70" t="e">
        <f>L129+M128</f>
        <v>#N/A</v>
      </c>
      <c r="N129" s="70" t="e">
        <f>SUM($F128:$N128)</f>
        <v>#N/A</v>
      </c>
      <c r="O129" s="70" t="e">
        <f>SUM($F128:$O128)</f>
        <v>#N/A</v>
      </c>
      <c r="P129" s="97"/>
      <c r="Q129" s="36"/>
      <c r="R129" s="63"/>
      <c r="S129" s="31" t="e">
        <f>$A126</f>
        <v>#N/A</v>
      </c>
      <c r="T129" s="31">
        <v>4</v>
      </c>
      <c r="U129" s="63" t="e">
        <f t="shared" ref="U129:AD129" si="23">F129</f>
        <v>#N/A</v>
      </c>
      <c r="V129" s="63" t="e">
        <f t="shared" si="23"/>
        <v>#N/A</v>
      </c>
      <c r="W129" s="63" t="e">
        <f t="shared" si="23"/>
        <v>#N/A</v>
      </c>
      <c r="X129" s="63" t="e">
        <f t="shared" si="23"/>
        <v>#N/A</v>
      </c>
      <c r="Y129" s="63" t="e">
        <f t="shared" si="23"/>
        <v>#N/A</v>
      </c>
      <c r="Z129" s="63" t="e">
        <f t="shared" si="23"/>
        <v>#N/A</v>
      </c>
      <c r="AA129" s="63" t="e">
        <f t="shared" si="23"/>
        <v>#N/A</v>
      </c>
      <c r="AB129" s="63" t="e">
        <f t="shared" si="23"/>
        <v>#N/A</v>
      </c>
      <c r="AC129" s="63" t="e">
        <f t="shared" si="23"/>
        <v>#N/A</v>
      </c>
      <c r="AD129" s="63" t="e">
        <f t="shared" si="23"/>
        <v>#N/A</v>
      </c>
      <c r="AF129" s="35"/>
      <c r="AG129" s="35"/>
      <c r="AI129" s="35"/>
    </row>
    <row r="130" spans="1:39" s="60" customFormat="1" ht="13.5" customHeight="1" thickBot="1" x14ac:dyDescent="0.4">
      <c r="A130" s="73"/>
      <c r="B130" s="73"/>
      <c r="C130" s="74" t="e">
        <f>VLOOKUP(B126,Уч!$A$2:$L$26,12,FALSE)</f>
        <v>#N/A</v>
      </c>
      <c r="D130" s="110"/>
      <c r="E130" s="43" t="s">
        <v>37</v>
      </c>
      <c r="F130" s="75" t="e">
        <f>RANK(F129,$U$19:$U$160,0)</f>
        <v>#N/A</v>
      </c>
      <c r="G130" s="76" t="e">
        <f>RANK(G129,$V$19:$V$160,0)</f>
        <v>#N/A</v>
      </c>
      <c r="H130" s="76" t="e">
        <f>RANK(H129,$W$19:$W$160,0)</f>
        <v>#N/A</v>
      </c>
      <c r="I130" s="76" t="e">
        <f>RANK(I129,$X$19:$X$160,0)</f>
        <v>#N/A</v>
      </c>
      <c r="J130" s="76" t="e">
        <f>RANK(J129,$Y$19:$Y$160,0)</f>
        <v>#N/A</v>
      </c>
      <c r="K130" s="76" t="e">
        <f>RANK(K129,$Z$19:$Z$160,0)</f>
        <v>#N/A</v>
      </c>
      <c r="L130" s="76" t="e">
        <f>RANK(L129,$AA$19:$AA$160,0)</f>
        <v>#N/A</v>
      </c>
      <c r="M130" s="76" t="e">
        <f>RANK(M129,$AB$19:$AB$150,0)</f>
        <v>#N/A</v>
      </c>
      <c r="N130" s="76" t="e">
        <f>RANK(N129,$AC$19:$AC$160,0)</f>
        <v>#N/A</v>
      </c>
      <c r="O130" s="76" t="e">
        <f>RANK(O129,$AD$19:$AD$160,0)</f>
        <v>#N/A</v>
      </c>
      <c r="P130" s="98"/>
      <c r="Q130" s="50"/>
      <c r="R130" s="77"/>
      <c r="S130" s="31" t="e">
        <f>$A126</f>
        <v>#N/A</v>
      </c>
      <c r="T130" s="31">
        <v>5</v>
      </c>
      <c r="U130" s="83"/>
      <c r="V130" s="78"/>
      <c r="W130" s="78"/>
      <c r="X130" s="78"/>
      <c r="Y130" s="78"/>
      <c r="Z130" s="78"/>
      <c r="AA130" s="78"/>
      <c r="AB130" s="79"/>
      <c r="AC130" s="79"/>
      <c r="AD130" s="79"/>
      <c r="AF130" s="35"/>
      <c r="AG130" s="35"/>
      <c r="AI130" s="35"/>
    </row>
    <row r="131" spans="1:39" s="60" customFormat="1" ht="13.5" customHeight="1" thickTop="1" x14ac:dyDescent="0.35">
      <c r="A131" s="35" t="e">
        <f>RANK(P131,$P$16:$P$160,0)</f>
        <v>#N/A</v>
      </c>
      <c r="B131" s="35">
        <v>54</v>
      </c>
      <c r="C131" s="60" t="e">
        <f>VLOOKUP(B131,Уч!$A$2:$L$26,2,FALSE)</f>
        <v>#N/A</v>
      </c>
      <c r="D131" s="107" t="e">
        <f>VLOOKUP(B131,Уч!$A$2:$L$26,3,FALSE)</f>
        <v>#N/A</v>
      </c>
      <c r="E131" s="33" t="s">
        <v>28</v>
      </c>
      <c r="F131" s="61" t="e">
        <f>VLOOKUP($B131,'100 м 1'!$C$18:$I$86,5,FALSE)</f>
        <v>#N/A</v>
      </c>
      <c r="G131" s="62" t="e">
        <f>VLOOKUP($B131,'длина 2 '!$C$16:$O$54,11,FALSE)</f>
        <v>#N/A</v>
      </c>
      <c r="H131" s="62" t="e">
        <f>VLOOKUP($B131,'ядро 2'!$C$16:$K$60,8,FALSE)</f>
        <v>#N/A</v>
      </c>
      <c r="I131" s="62" t="e">
        <f>VLOOKUP($B131,'высота 2'!$C$16:$AF$57,13,FALSE)</f>
        <v>#N/A</v>
      </c>
      <c r="J131" s="62">
        <f>VLOOKUP($B131,'4_р'!$C$17:$H$73,5,FALSE)</f>
        <v>48.99</v>
      </c>
      <c r="K131" s="62">
        <f>VLOOKUP($B131,'1cб_р'!$C$17:$I$63,5,FALSE)</f>
        <v>14.6</v>
      </c>
      <c r="L131" s="62">
        <f>VLOOKUP($B131,Дс_р!$C$16:$K$70,8,FALSE)</f>
        <v>32.299999999999997</v>
      </c>
      <c r="M131" s="62">
        <f>VLOOKUP($B131,Ш_р!$C$15:$AF$69,17,FALSE)</f>
        <v>0</v>
      </c>
      <c r="N131" s="62">
        <f>VLOOKUP($B131,К_р!$C$15:$K$68,8,FALSE)</f>
        <v>48.55</v>
      </c>
      <c r="O131" s="70" t="str">
        <f>VLOOKUP($B131,'15_р'!$C$17:$H$86,5,FALSE)</f>
        <v>4:43.14</v>
      </c>
      <c r="P131" s="97" t="e">
        <f>SUM(F133:O133)</f>
        <v>#N/A</v>
      </c>
      <c r="Q131" s="104" t="e">
        <f>LOOKUP(P131,$V$1:$V$7,$W$1:$W$7)</f>
        <v>#N/A</v>
      </c>
      <c r="R131" s="35"/>
      <c r="S131" s="31" t="e">
        <f>$A131</f>
        <v>#N/A</v>
      </c>
      <c r="T131" s="31">
        <v>1</v>
      </c>
      <c r="U131" s="64"/>
      <c r="V131" s="64"/>
      <c r="W131" s="64"/>
      <c r="X131" s="64"/>
      <c r="Y131" s="64"/>
      <c r="Z131" s="64"/>
      <c r="AA131" s="64"/>
      <c r="AB131" s="64"/>
      <c r="AC131" s="64"/>
      <c r="AD131" s="64"/>
      <c r="AE131" s="31"/>
      <c r="AF131" s="65" t="s">
        <v>37</v>
      </c>
      <c r="AG131" s="36" t="s">
        <v>77</v>
      </c>
      <c r="AH131" s="65" t="s">
        <v>76</v>
      </c>
      <c r="AI131" s="35" t="s">
        <v>77</v>
      </c>
      <c r="AJ131" s="31"/>
      <c r="AK131" s="31"/>
      <c r="AL131" s="31"/>
      <c r="AM131" s="31"/>
    </row>
    <row r="132" spans="1:39" s="60" customFormat="1" ht="13.5" customHeight="1" x14ac:dyDescent="0.35">
      <c r="A132" s="35"/>
      <c r="B132" s="35"/>
      <c r="C132" s="66" t="e">
        <f>VLOOKUP(B131,Уч!$A$2:$L$26,5,FALSE)</f>
        <v>#N/A</v>
      </c>
      <c r="D132" s="109" t="e">
        <f>VLOOKUP(B131,Уч!$A$2:$L$26,4,FALSE)</f>
        <v>#N/A</v>
      </c>
      <c r="E132" s="33" t="s">
        <v>97</v>
      </c>
      <c r="F132" s="68" t="e">
        <f>VLOOKUP($B131,'100 м 1'!$C$18:$I$86,6,FALSE)</f>
        <v>#N/A</v>
      </c>
      <c r="G132" s="69" t="e">
        <f>VLOOKUP($B131,'длина 2 '!$C$16:$O$54,12,FALSE)</f>
        <v>#N/A</v>
      </c>
      <c r="H132" s="70"/>
      <c r="I132" s="69"/>
      <c r="J132" s="69"/>
      <c r="K132" s="69">
        <f>VLOOKUP($B131,'1cб_р'!$C$17:$I$63,6,FALSE)</f>
        <v>0</v>
      </c>
      <c r="L132" s="69"/>
      <c r="M132" s="69"/>
      <c r="N132" s="70"/>
      <c r="O132" s="70"/>
      <c r="P132" s="97"/>
      <c r="Q132" s="36"/>
      <c r="R132" s="63"/>
      <c r="S132" s="31" t="e">
        <f>$A131</f>
        <v>#N/A</v>
      </c>
      <c r="T132" s="31">
        <v>2</v>
      </c>
      <c r="U132" s="64"/>
      <c r="V132" s="64"/>
      <c r="W132" s="64"/>
      <c r="X132" s="64"/>
      <c r="Y132" s="64"/>
      <c r="Z132" s="64"/>
      <c r="AA132" s="64"/>
      <c r="AB132" s="64"/>
      <c r="AC132" s="64"/>
      <c r="AD132" s="64"/>
      <c r="AE132" s="31"/>
      <c r="AF132" s="65">
        <v>1</v>
      </c>
      <c r="AG132" s="36">
        <v>20</v>
      </c>
      <c r="AH132" s="36" t="s">
        <v>78</v>
      </c>
      <c r="AI132" s="35"/>
      <c r="AJ132" s="31"/>
      <c r="AK132" s="31"/>
      <c r="AL132" s="31"/>
      <c r="AM132" s="31"/>
    </row>
    <row r="133" spans="1:39" s="60" customFormat="1" ht="13.5" customHeight="1" x14ac:dyDescent="0.35">
      <c r="A133" s="35"/>
      <c r="B133" s="35"/>
      <c r="C133" s="67" t="str">
        <f>VLOOKUP(B131,Уч!$A$2:$L$26,7)</f>
        <v>МБУ ДО ДЮСШ №6</v>
      </c>
      <c r="D133" s="109"/>
      <c r="E133" s="33" t="s">
        <v>77</v>
      </c>
      <c r="F133" s="72" t="e">
        <f>VLOOKUP($B131,'100 м 1'!$C$18:$I$86,7,FALSE)</f>
        <v>#N/A</v>
      </c>
      <c r="G133" s="70" t="e">
        <f>VLOOKUP($B131,'длина 2 '!$C$16:$O$54,13,FALSE)</f>
        <v>#N/A</v>
      </c>
      <c r="H133" s="70" t="e">
        <f>VLOOKUP($B131,'ядро 2'!$C$16:$K$60,9,FALSE)</f>
        <v>#N/A</v>
      </c>
      <c r="I133" s="70" t="e">
        <f>VLOOKUP($B131,'высота 2'!$C$16:$AF$57,14,FALSE)</f>
        <v>#N/A</v>
      </c>
      <c r="J133" s="70">
        <f>VLOOKUP($B131,'4_р'!$C$17:$H$73,6,FALSE)</f>
        <v>862</v>
      </c>
      <c r="K133" s="70">
        <f>VLOOKUP($B131,'1cб_р'!$C$17:$I$63,7,FALSE)</f>
        <v>899</v>
      </c>
      <c r="L133" s="70">
        <f>VLOOKUP($B131,Дс_р!$C$16:$K$70,9,FALSE)</f>
        <v>510</v>
      </c>
      <c r="M133" s="70">
        <f>VLOOKUP($B131,Ш_р!$C$15:$AF$69,18,FALSE)</f>
        <v>0</v>
      </c>
      <c r="N133" s="70">
        <f>VLOOKUP($B131,К_р!$C$15:$K$68,9,FALSE)</f>
        <v>567</v>
      </c>
      <c r="O133" s="70">
        <f>VLOOKUP($B131,'15_р'!$C$17:$H$86,6,FALSE)</f>
        <v>661</v>
      </c>
      <c r="P133" s="97"/>
      <c r="Q133" s="36"/>
      <c r="R133" s="63"/>
      <c r="S133" s="31" t="e">
        <f>$A131</f>
        <v>#N/A</v>
      </c>
      <c r="T133" s="31">
        <v>3</v>
      </c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31"/>
      <c r="AF133" s="65">
        <v>2</v>
      </c>
      <c r="AG133" s="36">
        <v>17</v>
      </c>
      <c r="AH133" s="65" t="s">
        <v>62</v>
      </c>
      <c r="AI133" s="35">
        <v>15</v>
      </c>
      <c r="AJ133" s="31"/>
      <c r="AK133" s="31"/>
      <c r="AL133" s="31"/>
      <c r="AM133" s="31"/>
    </row>
    <row r="134" spans="1:39" s="60" customFormat="1" ht="13.5" customHeight="1" x14ac:dyDescent="0.35">
      <c r="A134" s="35"/>
      <c r="B134" s="35"/>
      <c r="C134" s="66" t="e">
        <f>VLOOKUP(B131,Уч!$A$2:$L$26,11,FALSE)</f>
        <v>#N/A</v>
      </c>
      <c r="D134" s="109"/>
      <c r="E134" s="33" t="s">
        <v>98</v>
      </c>
      <c r="F134" s="72" t="e">
        <f>F133</f>
        <v>#N/A</v>
      </c>
      <c r="G134" s="70" t="e">
        <f>F134+G133</f>
        <v>#N/A</v>
      </c>
      <c r="H134" s="70" t="e">
        <f>G134+H133</f>
        <v>#N/A</v>
      </c>
      <c r="I134" s="70" t="e">
        <f>H134+I133</f>
        <v>#N/A</v>
      </c>
      <c r="J134" s="70" t="e">
        <f>SUM($F133:J133)</f>
        <v>#N/A</v>
      </c>
      <c r="K134" s="70" t="e">
        <f>SUM($F133:$K133)</f>
        <v>#N/A</v>
      </c>
      <c r="L134" s="70" t="e">
        <f>K134+L133</f>
        <v>#N/A</v>
      </c>
      <c r="M134" s="70" t="e">
        <f>L134+M133</f>
        <v>#N/A</v>
      </c>
      <c r="N134" s="70" t="e">
        <f>SUM($F133:$N133)</f>
        <v>#N/A</v>
      </c>
      <c r="O134" s="70" t="e">
        <f>SUM($F133:$O133)</f>
        <v>#N/A</v>
      </c>
      <c r="P134" s="97"/>
      <c r="Q134" s="36"/>
      <c r="R134" s="63"/>
      <c r="S134" s="31" t="e">
        <f>$A131</f>
        <v>#N/A</v>
      </c>
      <c r="T134" s="31">
        <v>4</v>
      </c>
      <c r="U134" s="63" t="e">
        <f t="shared" ref="U134:AD134" si="24">F134</f>
        <v>#N/A</v>
      </c>
      <c r="V134" s="63" t="e">
        <f t="shared" si="24"/>
        <v>#N/A</v>
      </c>
      <c r="W134" s="63" t="e">
        <f t="shared" si="24"/>
        <v>#N/A</v>
      </c>
      <c r="X134" s="63" t="e">
        <f t="shared" si="24"/>
        <v>#N/A</v>
      </c>
      <c r="Y134" s="63" t="e">
        <f t="shared" si="24"/>
        <v>#N/A</v>
      </c>
      <c r="Z134" s="63" t="e">
        <f t="shared" si="24"/>
        <v>#N/A</v>
      </c>
      <c r="AA134" s="63" t="e">
        <f t="shared" si="24"/>
        <v>#N/A</v>
      </c>
      <c r="AB134" s="63" t="e">
        <f t="shared" si="24"/>
        <v>#N/A</v>
      </c>
      <c r="AC134" s="63" t="e">
        <f t="shared" si="24"/>
        <v>#N/A</v>
      </c>
      <c r="AD134" s="63" t="e">
        <f t="shared" si="24"/>
        <v>#N/A</v>
      </c>
      <c r="AE134" s="31"/>
      <c r="AF134" s="65">
        <v>3</v>
      </c>
      <c r="AG134" s="36">
        <v>15</v>
      </c>
      <c r="AH134" s="65" t="s">
        <v>60</v>
      </c>
      <c r="AI134" s="35">
        <v>5</v>
      </c>
      <c r="AJ134" s="31"/>
      <c r="AK134" s="31"/>
      <c r="AL134" s="31"/>
      <c r="AM134" s="31"/>
    </row>
    <row r="135" spans="1:39" s="60" customFormat="1" ht="13.5" customHeight="1" thickBot="1" x14ac:dyDescent="0.4">
      <c r="A135" s="73"/>
      <c r="B135" s="73"/>
      <c r="C135" s="74" t="e">
        <f>VLOOKUP(B131,Уч!$A$2:$L$26,12,FALSE)</f>
        <v>#N/A</v>
      </c>
      <c r="D135" s="110"/>
      <c r="E135" s="43" t="s">
        <v>37</v>
      </c>
      <c r="F135" s="75" t="e">
        <f>RANK(F134,$U$19:$U$160,0)</f>
        <v>#N/A</v>
      </c>
      <c r="G135" s="76" t="e">
        <f>RANK(G134,$V$19:$V$160,0)</f>
        <v>#N/A</v>
      </c>
      <c r="H135" s="76" t="e">
        <f>RANK(H134,$W$19:$W$160,0)</f>
        <v>#N/A</v>
      </c>
      <c r="I135" s="76" t="e">
        <f>RANK(I134,$X$19:$X$160,0)</f>
        <v>#N/A</v>
      </c>
      <c r="J135" s="76" t="e">
        <f>RANK(J134,$Y$19:$Y$160,0)</f>
        <v>#N/A</v>
      </c>
      <c r="K135" s="76" t="e">
        <f>RANK(K134,$Z$19:$Z$160,0)</f>
        <v>#N/A</v>
      </c>
      <c r="L135" s="76" t="e">
        <f>RANK(L134,$AA$19:$AA$160,0)</f>
        <v>#N/A</v>
      </c>
      <c r="M135" s="76" t="e">
        <f>RANK(M134,$AB$19:$AB$150,0)</f>
        <v>#N/A</v>
      </c>
      <c r="N135" s="76" t="e">
        <f>RANK(N134,$AC$19:$AC$160,0)</f>
        <v>#N/A</v>
      </c>
      <c r="O135" s="76" t="e">
        <f>RANK(O134,$AD$19:$AD$160,0)</f>
        <v>#N/A</v>
      </c>
      <c r="P135" s="98"/>
      <c r="Q135" s="50"/>
      <c r="R135" s="77"/>
      <c r="S135" s="31" t="e">
        <f>$A131</f>
        <v>#N/A</v>
      </c>
      <c r="T135" s="31">
        <v>5</v>
      </c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31"/>
      <c r="AF135" s="65">
        <v>4</v>
      </c>
      <c r="AG135" s="36">
        <v>14</v>
      </c>
      <c r="AI135" s="35"/>
      <c r="AJ135" s="31"/>
      <c r="AK135" s="31"/>
      <c r="AL135" s="31"/>
      <c r="AM135" s="31"/>
    </row>
    <row r="136" spans="1:39" s="60" customFormat="1" ht="13.5" customHeight="1" thickTop="1" x14ac:dyDescent="0.35">
      <c r="A136" s="35" t="e">
        <f>RANK(P136,$P$16:$P$160,0)</f>
        <v>#N/A</v>
      </c>
      <c r="B136" s="35">
        <v>87</v>
      </c>
      <c r="C136" s="60" t="e">
        <f>VLOOKUP(B136,Уч!$A$2:$L$26,2,FALSE)</f>
        <v>#N/A</v>
      </c>
      <c r="D136" s="107" t="e">
        <f>VLOOKUP(B136,Уч!$A$2:$L$26,3,FALSE)</f>
        <v>#N/A</v>
      </c>
      <c r="E136" s="33" t="s">
        <v>28</v>
      </c>
      <c r="F136" s="61" t="e">
        <f>VLOOKUP($B136,'100 м 1'!$C$18:$I$86,5,FALSE)</f>
        <v>#N/A</v>
      </c>
      <c r="G136" s="62" t="e">
        <f>VLOOKUP($B136,'длина 2 '!$C$16:$O$54,11,FALSE)</f>
        <v>#N/A</v>
      </c>
      <c r="H136" s="62" t="e">
        <f>VLOOKUP($B136,'ядро 2'!$C$16:$K$60,8,FALSE)</f>
        <v>#N/A</v>
      </c>
      <c r="I136" s="62" t="e">
        <f>VLOOKUP($B136,'высота 2'!$C$16:$AF$57,13,FALSE)</f>
        <v>#N/A</v>
      </c>
      <c r="J136" s="62" t="e">
        <f>VLOOKUP($B136,'4_р'!$C$17:$H$73,5,FALSE)</f>
        <v>#N/A</v>
      </c>
      <c r="K136" s="62" t="e">
        <f>VLOOKUP($B136,'1cб_р'!$C$17:$I$63,5,FALSE)</f>
        <v>#N/A</v>
      </c>
      <c r="L136" s="62" t="e">
        <f>VLOOKUP($B136,Дс_р!$C$16:$K$70,8,FALSE)</f>
        <v>#N/A</v>
      </c>
      <c r="M136" s="62" t="e">
        <f>VLOOKUP($B136,Ш_р!$C$15:$AF$69,17,FALSE)</f>
        <v>#N/A</v>
      </c>
      <c r="N136" s="62" t="e">
        <f>VLOOKUP($B136,К_р!$C$15:$K$68,8,FALSE)</f>
        <v>#N/A</v>
      </c>
      <c r="O136" s="70" t="e">
        <f>VLOOKUP($B136,'15_р'!$C$17:$H$86,5,FALSE)</f>
        <v>#N/A</v>
      </c>
      <c r="P136" s="97" t="e">
        <f>SUM(F138:O138)</f>
        <v>#N/A</v>
      </c>
      <c r="Q136" s="35" t="e">
        <f>LOOKUP(P136,$V$1:$V$7,$W$1:$W$7)</f>
        <v>#N/A</v>
      </c>
      <c r="R136" s="35"/>
      <c r="S136" s="31" t="e">
        <f>$A136</f>
        <v>#N/A</v>
      </c>
      <c r="T136" s="31">
        <v>1</v>
      </c>
      <c r="U136" s="83"/>
      <c r="V136" s="78"/>
      <c r="W136" s="78"/>
      <c r="X136" s="78"/>
      <c r="Y136" s="78"/>
      <c r="Z136" s="78"/>
      <c r="AA136" s="78"/>
      <c r="AB136" s="79"/>
      <c r="AC136" s="79"/>
      <c r="AD136" s="79"/>
      <c r="AF136" s="35"/>
      <c r="AG136" s="35"/>
      <c r="AI136" s="35"/>
    </row>
    <row r="137" spans="1:39" s="60" customFormat="1" ht="13.5" customHeight="1" x14ac:dyDescent="0.35">
      <c r="A137" s="35"/>
      <c r="B137" s="35"/>
      <c r="C137" s="66" t="e">
        <f>VLOOKUP(B136,Уч!$A$2:$L$26,5,FALSE)</f>
        <v>#N/A</v>
      </c>
      <c r="D137" s="107" t="e">
        <f>VLOOKUP(B136,Уч!$A$2:$L$26,4,FALSE)</f>
        <v>#N/A</v>
      </c>
      <c r="E137" s="33" t="s">
        <v>97</v>
      </c>
      <c r="F137" s="68" t="e">
        <f>VLOOKUP($B136,'100 м 1'!$C$18:$I$86,6,FALSE)</f>
        <v>#N/A</v>
      </c>
      <c r="G137" s="69" t="e">
        <f>VLOOKUP($B136,'длина 2 '!$C$16:$O$54,12,FALSE)</f>
        <v>#N/A</v>
      </c>
      <c r="H137" s="70"/>
      <c r="I137" s="69"/>
      <c r="J137" s="69"/>
      <c r="K137" s="69" t="e">
        <f>VLOOKUP($B136,'1cб_р'!$C$17:$I$63,6,FALSE)</f>
        <v>#N/A</v>
      </c>
      <c r="L137" s="69"/>
      <c r="M137" s="69"/>
      <c r="N137" s="70"/>
      <c r="O137" s="70"/>
      <c r="P137" s="97"/>
      <c r="Q137" s="63"/>
      <c r="R137" s="63"/>
      <c r="S137" s="31" t="e">
        <f>$A136</f>
        <v>#N/A</v>
      </c>
      <c r="T137" s="31">
        <v>2</v>
      </c>
      <c r="U137" s="83"/>
      <c r="V137" s="78"/>
      <c r="W137" s="78"/>
      <c r="X137" s="78"/>
      <c r="Y137" s="78"/>
      <c r="Z137" s="78"/>
      <c r="AA137" s="78"/>
      <c r="AB137" s="79"/>
      <c r="AC137" s="79"/>
      <c r="AD137" s="79"/>
      <c r="AF137" s="35"/>
      <c r="AG137" s="35"/>
      <c r="AI137" s="35"/>
    </row>
    <row r="138" spans="1:39" s="60" customFormat="1" ht="13.5" customHeight="1" x14ac:dyDescent="0.35">
      <c r="A138" s="35"/>
      <c r="B138" s="35"/>
      <c r="C138" s="67" t="str">
        <f>VLOOKUP(B136,Уч!$A$2:$L$26,7)</f>
        <v>ГБФСУ КО "СШОР по легкой атлетике им. В.А.Савенкова", ГАУ КО "ЦП ССК"</v>
      </c>
      <c r="D138" s="107"/>
      <c r="E138" s="33" t="s">
        <v>77</v>
      </c>
      <c r="F138" s="72" t="e">
        <f>VLOOKUP($B136,'100 м 1'!$C$18:$I$86,7,FALSE)</f>
        <v>#N/A</v>
      </c>
      <c r="G138" s="70" t="e">
        <f>VLOOKUP($B136,'длина 2 '!$C$16:$O$54,13,FALSE)</f>
        <v>#N/A</v>
      </c>
      <c r="H138" s="70" t="e">
        <f>VLOOKUP($B136,'ядро 2'!$C$16:$K$60,9,FALSE)</f>
        <v>#N/A</v>
      </c>
      <c r="I138" s="70" t="e">
        <f>VLOOKUP($B136,'высота 2'!$C$16:$AF$57,14,FALSE)</f>
        <v>#N/A</v>
      </c>
      <c r="J138" s="70" t="e">
        <f>VLOOKUP($B136,'4_р'!$C$17:$H$73,6,FALSE)</f>
        <v>#N/A</v>
      </c>
      <c r="K138" s="70" t="e">
        <f>VLOOKUP($B136,'1cб_р'!$C$17:$I$63,7,FALSE)</f>
        <v>#N/A</v>
      </c>
      <c r="L138" s="70" t="e">
        <f>VLOOKUP($B136,Дс_р!$C$16:$K$70,9,FALSE)</f>
        <v>#N/A</v>
      </c>
      <c r="M138" s="70" t="e">
        <f>VLOOKUP($B136,Ш_р!$C$15:$AF$69,18,FALSE)</f>
        <v>#N/A</v>
      </c>
      <c r="N138" s="70" t="e">
        <f>VLOOKUP($B136,К_р!$C$15:$K$68,9,FALSE)</f>
        <v>#N/A</v>
      </c>
      <c r="O138" s="70" t="e">
        <f>VLOOKUP($B136,'15_р'!$C$17:$H$86,6,FALSE)</f>
        <v>#N/A</v>
      </c>
      <c r="P138" s="97"/>
      <c r="Q138" s="63"/>
      <c r="R138" s="63"/>
      <c r="S138" s="31" t="e">
        <f>$A136</f>
        <v>#N/A</v>
      </c>
      <c r="T138" s="31">
        <v>3</v>
      </c>
      <c r="U138" s="83"/>
      <c r="V138" s="78"/>
      <c r="W138" s="78"/>
      <c r="X138" s="78"/>
      <c r="Y138" s="78"/>
      <c r="Z138" s="78"/>
      <c r="AA138" s="78"/>
      <c r="AB138" s="79"/>
      <c r="AC138" s="79"/>
      <c r="AD138" s="79"/>
      <c r="AF138" s="35"/>
      <c r="AG138" s="35"/>
      <c r="AI138" s="35"/>
    </row>
    <row r="139" spans="1:39" s="60" customFormat="1" ht="13.5" customHeight="1" x14ac:dyDescent="0.35">
      <c r="A139" s="35"/>
      <c r="B139" s="35"/>
      <c r="C139" s="66" t="e">
        <f>VLOOKUP(B136,Уч!$A$2:$L$26,11,FALSE)</f>
        <v>#N/A</v>
      </c>
      <c r="D139" s="107"/>
      <c r="E139" s="33" t="s">
        <v>98</v>
      </c>
      <c r="F139" s="72" t="e">
        <f>F138</f>
        <v>#N/A</v>
      </c>
      <c r="G139" s="70" t="e">
        <f>F139+G138</f>
        <v>#N/A</v>
      </c>
      <c r="H139" s="70" t="e">
        <f>G139+H138</f>
        <v>#N/A</v>
      </c>
      <c r="I139" s="70" t="e">
        <f>H139+I138</f>
        <v>#N/A</v>
      </c>
      <c r="J139" s="70" t="e">
        <f>SUM($F138:J138)</f>
        <v>#N/A</v>
      </c>
      <c r="K139" s="70" t="e">
        <f>SUM($F138:$K138)</f>
        <v>#N/A</v>
      </c>
      <c r="L139" s="70" t="e">
        <f>K139+L138</f>
        <v>#N/A</v>
      </c>
      <c r="M139" s="70" t="e">
        <f>L139+M138</f>
        <v>#N/A</v>
      </c>
      <c r="N139" s="70" t="e">
        <f>SUM($F138:$N138)</f>
        <v>#N/A</v>
      </c>
      <c r="O139" s="70" t="e">
        <f>SUM($F138:$O138)</f>
        <v>#N/A</v>
      </c>
      <c r="P139" s="97"/>
      <c r="Q139" s="63"/>
      <c r="R139" s="63"/>
      <c r="S139" s="31" t="e">
        <f>$A136</f>
        <v>#N/A</v>
      </c>
      <c r="T139" s="31">
        <v>4</v>
      </c>
      <c r="U139" s="63" t="e">
        <f t="shared" ref="U139:AD139" si="25">F139</f>
        <v>#N/A</v>
      </c>
      <c r="V139" s="63" t="e">
        <f t="shared" si="25"/>
        <v>#N/A</v>
      </c>
      <c r="W139" s="63" t="e">
        <f t="shared" si="25"/>
        <v>#N/A</v>
      </c>
      <c r="X139" s="63" t="e">
        <f t="shared" si="25"/>
        <v>#N/A</v>
      </c>
      <c r="Y139" s="63" t="e">
        <f t="shared" si="25"/>
        <v>#N/A</v>
      </c>
      <c r="Z139" s="63" t="e">
        <f t="shared" si="25"/>
        <v>#N/A</v>
      </c>
      <c r="AA139" s="63" t="e">
        <f t="shared" si="25"/>
        <v>#N/A</v>
      </c>
      <c r="AB139" s="63" t="e">
        <f t="shared" si="25"/>
        <v>#N/A</v>
      </c>
      <c r="AC139" s="63" t="e">
        <f t="shared" si="25"/>
        <v>#N/A</v>
      </c>
      <c r="AD139" s="63" t="e">
        <f t="shared" si="25"/>
        <v>#N/A</v>
      </c>
      <c r="AF139" s="35"/>
      <c r="AG139" s="35"/>
      <c r="AI139" s="35"/>
    </row>
    <row r="140" spans="1:39" s="60" customFormat="1" ht="13.5" customHeight="1" thickBot="1" x14ac:dyDescent="0.4">
      <c r="A140" s="73"/>
      <c r="B140" s="73"/>
      <c r="C140" s="74" t="e">
        <f>VLOOKUP(B136,Уч!$A$2:$L$26,12,FALSE)</f>
        <v>#N/A</v>
      </c>
      <c r="D140" s="108"/>
      <c r="E140" s="43" t="s">
        <v>37</v>
      </c>
      <c r="F140" s="75" t="e">
        <f>RANK(F139,$U$19:$U$160,0)</f>
        <v>#N/A</v>
      </c>
      <c r="G140" s="76" t="e">
        <f>RANK(G139,$V$19:$V$160,0)</f>
        <v>#N/A</v>
      </c>
      <c r="H140" s="76" t="e">
        <f>RANK(H139,$W$19:$W$160,0)</f>
        <v>#N/A</v>
      </c>
      <c r="I140" s="76" t="e">
        <f>RANK(I139,$X$19:$X$160,0)</f>
        <v>#N/A</v>
      </c>
      <c r="J140" s="76" t="e">
        <f>RANK(J139,$Y$19:$Y$160,0)</f>
        <v>#N/A</v>
      </c>
      <c r="K140" s="76" t="e">
        <f>RANK(K139,$Z$19:$Z$160,0)</f>
        <v>#N/A</v>
      </c>
      <c r="L140" s="76" t="e">
        <f>RANK(L139,$AA$19:$AA$160,0)</f>
        <v>#N/A</v>
      </c>
      <c r="M140" s="76" t="e">
        <f>RANK(M139,$AB$19:$AB$150,0)</f>
        <v>#N/A</v>
      </c>
      <c r="N140" s="76" t="e">
        <f>RANK(N139,$AC$19:$AC$160,0)</f>
        <v>#N/A</v>
      </c>
      <c r="O140" s="76" t="e">
        <f>RANK(O139,$AD$19:$AD$160,0)</f>
        <v>#N/A</v>
      </c>
      <c r="P140" s="98"/>
      <c r="Q140" s="77"/>
      <c r="R140" s="77"/>
      <c r="S140" s="31" t="e">
        <f>$A136</f>
        <v>#N/A</v>
      </c>
      <c r="T140" s="31">
        <v>5</v>
      </c>
      <c r="U140" s="83"/>
      <c r="V140" s="78"/>
      <c r="W140" s="78"/>
      <c r="X140" s="78"/>
      <c r="Y140" s="78"/>
      <c r="Z140" s="78"/>
      <c r="AA140" s="78"/>
      <c r="AB140" s="79"/>
      <c r="AC140" s="79"/>
      <c r="AD140" s="79"/>
      <c r="AF140" s="35"/>
      <c r="AG140" s="35"/>
      <c r="AI140" s="35"/>
    </row>
    <row r="141" spans="1:39" s="60" customFormat="1" ht="13.5" customHeight="1" thickTop="1" x14ac:dyDescent="0.35">
      <c r="A141" s="35" t="e">
        <f>RANK(P141,$P$16:$P$160,0)</f>
        <v>#N/A</v>
      </c>
      <c r="B141" s="35">
        <v>92</v>
      </c>
      <c r="C141" s="60" t="e">
        <f>VLOOKUP(B141,Уч!$A$2:$L$26,2,FALSE)</f>
        <v>#N/A</v>
      </c>
      <c r="D141" s="107" t="e">
        <f>VLOOKUP(B141,Уч!$A$2:$L$26,3,FALSE)</f>
        <v>#N/A</v>
      </c>
      <c r="E141" s="33" t="s">
        <v>28</v>
      </c>
      <c r="F141" s="61" t="e">
        <f>VLOOKUP($B141,'100 м 1'!$C$18:$I$86,5,FALSE)</f>
        <v>#N/A</v>
      </c>
      <c r="G141" s="62" t="e">
        <f>VLOOKUP($B141,'длина 2 '!$C$16:$O$54,11,FALSE)</f>
        <v>#N/A</v>
      </c>
      <c r="H141" s="62" t="e">
        <f>VLOOKUP($B141,'ядро 2'!$C$16:$K$60,8,FALSE)</f>
        <v>#N/A</v>
      </c>
      <c r="I141" s="62" t="e">
        <f>VLOOKUP($B141,'высота 2'!$C$16:$AF$57,13,FALSE)</f>
        <v>#N/A</v>
      </c>
      <c r="J141" s="62" t="e">
        <f>VLOOKUP($B141,'4_р'!$C$17:$H$73,5,FALSE)</f>
        <v>#N/A</v>
      </c>
      <c r="K141" s="62" t="e">
        <f>VLOOKUP($B141,'1cб_р'!$C$17:$I$63,5,FALSE)</f>
        <v>#N/A</v>
      </c>
      <c r="L141" s="62" t="e">
        <f>VLOOKUP($B141,Дс_р!$C$16:$K$70,8,FALSE)</f>
        <v>#N/A</v>
      </c>
      <c r="M141" s="62" t="e">
        <f>VLOOKUP($B141,Ш_р!$C$15:$AF$69,17,FALSE)</f>
        <v>#N/A</v>
      </c>
      <c r="N141" s="62" t="e">
        <f>VLOOKUP($B141,К_р!$C$15:$K$68,8,FALSE)</f>
        <v>#N/A</v>
      </c>
      <c r="O141" s="70" t="e">
        <f>VLOOKUP($B141,'15_р'!$C$17:$H$86,5,FALSE)</f>
        <v>#N/A</v>
      </c>
      <c r="P141" s="97" t="e">
        <f>SUM(F143:O143)</f>
        <v>#N/A</v>
      </c>
      <c r="Q141" s="35" t="e">
        <f>LOOKUP(P141,$V$1:$V$7,$W$1:$W$7)</f>
        <v>#N/A</v>
      </c>
      <c r="R141" s="35"/>
      <c r="S141" s="31" t="e">
        <f>$A141</f>
        <v>#N/A</v>
      </c>
      <c r="T141" s="31">
        <v>1</v>
      </c>
      <c r="U141" s="83"/>
      <c r="V141" s="78"/>
      <c r="W141" s="78"/>
      <c r="X141" s="78"/>
      <c r="Y141" s="78"/>
      <c r="Z141" s="78"/>
      <c r="AA141" s="78"/>
      <c r="AB141" s="79"/>
      <c r="AC141" s="79"/>
      <c r="AD141" s="79"/>
      <c r="AF141" s="35"/>
      <c r="AG141" s="35"/>
      <c r="AI141" s="35"/>
    </row>
    <row r="142" spans="1:39" s="60" customFormat="1" ht="13.5" customHeight="1" x14ac:dyDescent="0.35">
      <c r="A142" s="35"/>
      <c r="B142" s="35"/>
      <c r="C142" s="66" t="e">
        <f>VLOOKUP(B141,Уч!$A$2:$L$26,5,FALSE)</f>
        <v>#N/A</v>
      </c>
      <c r="D142" s="107" t="e">
        <f>VLOOKUP(B141,Уч!$A$2:$L$26,4,FALSE)</f>
        <v>#N/A</v>
      </c>
      <c r="E142" s="33" t="s">
        <v>97</v>
      </c>
      <c r="F142" s="68" t="e">
        <f>VLOOKUP($B141,'100 м 1'!$C$18:$I$86,6,FALSE)</f>
        <v>#N/A</v>
      </c>
      <c r="G142" s="69" t="e">
        <f>VLOOKUP($B141,'длина 2 '!$C$16:$O$54,12,FALSE)</f>
        <v>#N/A</v>
      </c>
      <c r="H142" s="70"/>
      <c r="I142" s="69"/>
      <c r="J142" s="69"/>
      <c r="K142" s="69" t="e">
        <f>VLOOKUP($B141,'1cб_р'!$C$17:$I$63,6,FALSE)</f>
        <v>#N/A</v>
      </c>
      <c r="L142" s="69"/>
      <c r="M142" s="69"/>
      <c r="N142" s="70"/>
      <c r="O142" s="70"/>
      <c r="P142" s="97"/>
      <c r="Q142" s="34"/>
      <c r="R142" s="63"/>
      <c r="S142" s="31" t="e">
        <f>$A141</f>
        <v>#N/A</v>
      </c>
      <c r="T142" s="31">
        <v>2</v>
      </c>
      <c r="U142" s="83"/>
      <c r="V142" s="78"/>
      <c r="W142" s="78"/>
      <c r="X142" s="78"/>
      <c r="Y142" s="78"/>
      <c r="Z142" s="78"/>
      <c r="AA142" s="78"/>
      <c r="AB142" s="79"/>
      <c r="AC142" s="79"/>
      <c r="AD142" s="79"/>
      <c r="AF142" s="35"/>
      <c r="AG142" s="35"/>
      <c r="AI142" s="35"/>
    </row>
    <row r="143" spans="1:39" s="60" customFormat="1" ht="13.5" customHeight="1" x14ac:dyDescent="0.35">
      <c r="A143" s="35"/>
      <c r="B143" s="35"/>
      <c r="C143" s="67" t="str">
        <f>VLOOKUP(B141,Уч!$A$2:$L$26,7)</f>
        <v>ГБФСУ КО "СШОР по легкой атлетике им. В.А.Савенкова", ГАУ КО "ЦП ССК"</v>
      </c>
      <c r="D143" s="107"/>
      <c r="E143" s="33" t="s">
        <v>77</v>
      </c>
      <c r="F143" s="72" t="e">
        <f>VLOOKUP($B141,'100 м 1'!$C$18:$I$86,7,FALSE)</f>
        <v>#N/A</v>
      </c>
      <c r="G143" s="70" t="e">
        <f>VLOOKUP($B141,'длина 2 '!$C$16:$O$54,13,FALSE)</f>
        <v>#N/A</v>
      </c>
      <c r="H143" s="70" t="e">
        <f>VLOOKUP($B141,'ядро 2'!$C$16:$K$60,9,FALSE)</f>
        <v>#N/A</v>
      </c>
      <c r="I143" s="70" t="e">
        <f>VLOOKUP($B141,'высота 2'!$C$16:$AF$57,14,FALSE)</f>
        <v>#N/A</v>
      </c>
      <c r="J143" s="70" t="e">
        <f>VLOOKUP($B141,'4_р'!$C$17:$H$73,6,FALSE)</f>
        <v>#N/A</v>
      </c>
      <c r="K143" s="70" t="e">
        <f>VLOOKUP($B141,'1cб_р'!$C$17:$I$63,7,FALSE)</f>
        <v>#N/A</v>
      </c>
      <c r="L143" s="70" t="e">
        <f>VLOOKUP($B141,Дс_р!$C$16:$K$70,9,FALSE)</f>
        <v>#N/A</v>
      </c>
      <c r="M143" s="70" t="e">
        <f>VLOOKUP($B141,Ш_р!$C$15:$AF$69,18,FALSE)</f>
        <v>#N/A</v>
      </c>
      <c r="N143" s="70" t="e">
        <f>VLOOKUP($B141,К_р!$C$15:$K$68,9,FALSE)</f>
        <v>#N/A</v>
      </c>
      <c r="O143" s="70" t="e">
        <f>VLOOKUP($B141,'15_р'!$C$17:$H$86,6,FALSE)</f>
        <v>#N/A</v>
      </c>
      <c r="P143" s="97"/>
      <c r="Q143" s="34"/>
      <c r="R143" s="63"/>
      <c r="S143" s="31" t="e">
        <f>$A141</f>
        <v>#N/A</v>
      </c>
      <c r="T143" s="31">
        <v>3</v>
      </c>
      <c r="U143" s="83"/>
      <c r="V143" s="78"/>
      <c r="W143" s="78"/>
      <c r="X143" s="78"/>
      <c r="Y143" s="78"/>
      <c r="Z143" s="78"/>
      <c r="AA143" s="78"/>
      <c r="AB143" s="79"/>
      <c r="AC143" s="79"/>
      <c r="AD143" s="79"/>
      <c r="AF143" s="35"/>
      <c r="AG143" s="35"/>
      <c r="AI143" s="35"/>
    </row>
    <row r="144" spans="1:39" s="60" customFormat="1" ht="13.5" customHeight="1" x14ac:dyDescent="0.35">
      <c r="A144" s="35"/>
      <c r="B144" s="35"/>
      <c r="C144" s="66" t="e">
        <f>VLOOKUP(B141,Уч!$A$2:$L$26,11,FALSE)</f>
        <v>#N/A</v>
      </c>
      <c r="D144" s="107"/>
      <c r="E144" s="33" t="s">
        <v>98</v>
      </c>
      <c r="F144" s="72" t="e">
        <f>F143</f>
        <v>#N/A</v>
      </c>
      <c r="G144" s="70" t="e">
        <f>F144+G143</f>
        <v>#N/A</v>
      </c>
      <c r="H144" s="70" t="e">
        <f>G144+H143</f>
        <v>#N/A</v>
      </c>
      <c r="I144" s="70" t="e">
        <f>H144+I143</f>
        <v>#N/A</v>
      </c>
      <c r="J144" s="70" t="e">
        <f>SUM($F143:J143)</f>
        <v>#N/A</v>
      </c>
      <c r="K144" s="70" t="e">
        <f>SUM($F143:$K143)</f>
        <v>#N/A</v>
      </c>
      <c r="L144" s="70" t="e">
        <f>K144+L143</f>
        <v>#N/A</v>
      </c>
      <c r="M144" s="70" t="e">
        <f>L144+M143</f>
        <v>#N/A</v>
      </c>
      <c r="N144" s="70" t="e">
        <f>SUM($F143:$N143)</f>
        <v>#N/A</v>
      </c>
      <c r="O144" s="70" t="e">
        <f>SUM($F143:$O143)</f>
        <v>#N/A</v>
      </c>
      <c r="P144" s="97"/>
      <c r="Q144" s="80"/>
      <c r="R144" s="63"/>
      <c r="S144" s="31" t="e">
        <f>$A141</f>
        <v>#N/A</v>
      </c>
      <c r="T144" s="31">
        <v>4</v>
      </c>
      <c r="U144" s="63" t="e">
        <f t="shared" ref="U144:AD144" si="26">F144</f>
        <v>#N/A</v>
      </c>
      <c r="V144" s="63" t="e">
        <f t="shared" si="26"/>
        <v>#N/A</v>
      </c>
      <c r="W144" s="63" t="e">
        <f t="shared" si="26"/>
        <v>#N/A</v>
      </c>
      <c r="X144" s="63" t="e">
        <f t="shared" si="26"/>
        <v>#N/A</v>
      </c>
      <c r="Y144" s="63" t="e">
        <f t="shared" si="26"/>
        <v>#N/A</v>
      </c>
      <c r="Z144" s="63" t="e">
        <f t="shared" si="26"/>
        <v>#N/A</v>
      </c>
      <c r="AA144" s="63" t="e">
        <f t="shared" si="26"/>
        <v>#N/A</v>
      </c>
      <c r="AB144" s="63" t="e">
        <f t="shared" si="26"/>
        <v>#N/A</v>
      </c>
      <c r="AC144" s="63" t="e">
        <f t="shared" si="26"/>
        <v>#N/A</v>
      </c>
      <c r="AD144" s="63" t="e">
        <f t="shared" si="26"/>
        <v>#N/A</v>
      </c>
      <c r="AF144" s="35"/>
      <c r="AG144" s="35"/>
      <c r="AI144" s="35"/>
    </row>
    <row r="145" spans="1:39" s="60" customFormat="1" ht="13.5" customHeight="1" thickBot="1" x14ac:dyDescent="0.4">
      <c r="A145" s="73"/>
      <c r="B145" s="73"/>
      <c r="C145" s="74" t="e">
        <f>VLOOKUP(B141,Уч!$A$2:$L$26,12,FALSE)</f>
        <v>#N/A</v>
      </c>
      <c r="D145" s="108"/>
      <c r="E145" s="43" t="s">
        <v>37</v>
      </c>
      <c r="F145" s="75" t="e">
        <f>RANK(F144,$U$19:$U$160,0)</f>
        <v>#N/A</v>
      </c>
      <c r="G145" s="76" t="e">
        <f>RANK(G144,$V$19:$V$160,0)</f>
        <v>#N/A</v>
      </c>
      <c r="H145" s="76" t="e">
        <f>RANK(H144,$W$19:$W$160,0)</f>
        <v>#N/A</v>
      </c>
      <c r="I145" s="76" t="e">
        <f>RANK(I144,$X$19:$X$160,0)</f>
        <v>#N/A</v>
      </c>
      <c r="J145" s="76" t="e">
        <f>RANK(J144,$Y$19:$Y$160,0)</f>
        <v>#N/A</v>
      </c>
      <c r="K145" s="76" t="e">
        <f>RANK(K144,$Z$19:$Z$160,0)</f>
        <v>#N/A</v>
      </c>
      <c r="L145" s="76" t="e">
        <f>RANK(L144,$AA$19:$AA$160,0)</f>
        <v>#N/A</v>
      </c>
      <c r="M145" s="76" t="e">
        <f>RANK(M144,$AB$19:$AB$150,0)</f>
        <v>#N/A</v>
      </c>
      <c r="N145" s="76" t="e">
        <f>RANK(N144,$AC$19:$AC$160,0)</f>
        <v>#N/A</v>
      </c>
      <c r="O145" s="76" t="e">
        <f>RANK(O144,$AD$19:$AD$160,0)</f>
        <v>#N/A</v>
      </c>
      <c r="P145" s="98"/>
      <c r="Q145" s="81"/>
      <c r="R145" s="77"/>
      <c r="S145" s="31" t="e">
        <f>$A141</f>
        <v>#N/A</v>
      </c>
      <c r="T145" s="31">
        <v>5</v>
      </c>
      <c r="U145" s="83"/>
      <c r="V145" s="78"/>
      <c r="W145" s="78"/>
      <c r="X145" s="78"/>
      <c r="Y145" s="78"/>
      <c r="Z145" s="78"/>
      <c r="AA145" s="78"/>
      <c r="AB145" s="79"/>
      <c r="AC145" s="79"/>
      <c r="AD145" s="79"/>
      <c r="AF145" s="35"/>
      <c r="AG145" s="35"/>
      <c r="AI145" s="35"/>
    </row>
    <row r="146" spans="1:39" s="60" customFormat="1" ht="13.5" customHeight="1" thickTop="1" x14ac:dyDescent="0.35">
      <c r="A146" s="35" t="e">
        <f>RANK(P146,$P$16:$P$160,0)</f>
        <v>#N/A</v>
      </c>
      <c r="B146" s="35">
        <v>93</v>
      </c>
      <c r="C146" s="60" t="e">
        <f>VLOOKUP(B146,Уч!$A$2:$L$26,2,FALSE)</f>
        <v>#N/A</v>
      </c>
      <c r="D146" s="107" t="e">
        <f>VLOOKUP(B146,Уч!$A$2:$L$26,3,FALSE)</f>
        <v>#N/A</v>
      </c>
      <c r="E146" s="33" t="s">
        <v>28</v>
      </c>
      <c r="F146" s="61" t="e">
        <f>VLOOKUP($B146,'100 м 1'!$C$18:$I$86,5,FALSE)</f>
        <v>#N/A</v>
      </c>
      <c r="G146" s="62" t="e">
        <f>VLOOKUP($B146,'длина 2 '!$C$16:$O$54,11,FALSE)</f>
        <v>#N/A</v>
      </c>
      <c r="H146" s="62" t="e">
        <f>VLOOKUP($B146,'ядро 2'!$C$16:$K$60,8,FALSE)</f>
        <v>#N/A</v>
      </c>
      <c r="I146" s="62" t="e">
        <f>VLOOKUP($B146,'высота 2'!$C$16:$AF$57,13,FALSE)</f>
        <v>#N/A</v>
      </c>
      <c r="J146" s="62" t="e">
        <f>VLOOKUP($B146,'4_р'!$C$17:$H$73,5,FALSE)</f>
        <v>#N/A</v>
      </c>
      <c r="K146" s="62" t="e">
        <f>VLOOKUP($B146,'1cб_р'!$C$17:$I$63,5,FALSE)</f>
        <v>#N/A</v>
      </c>
      <c r="L146" s="62" t="e">
        <f>VLOOKUP($B146,Дс_р!$C$16:$K$70,8,FALSE)</f>
        <v>#N/A</v>
      </c>
      <c r="M146" s="62" t="e">
        <f>VLOOKUP($B146,Ш_р!$C$15:$AF$69,17,FALSE)</f>
        <v>#N/A</v>
      </c>
      <c r="N146" s="62" t="e">
        <f>VLOOKUP($B146,К_р!$C$15:$K$68,8,FALSE)</f>
        <v>#N/A</v>
      </c>
      <c r="O146" s="70" t="e">
        <f>VLOOKUP($B146,'15_р'!$C$17:$H$86,5,FALSE)</f>
        <v>#N/A</v>
      </c>
      <c r="P146" s="97" t="e">
        <f>SUM(F148:O148)</f>
        <v>#N/A</v>
      </c>
      <c r="Q146" s="35" t="e">
        <f>LOOKUP(P146,$V$1:$V$7,$W$1:$W$7)</f>
        <v>#N/A</v>
      </c>
      <c r="R146" s="35"/>
      <c r="S146" s="31" t="e">
        <f>$A146</f>
        <v>#N/A</v>
      </c>
      <c r="T146" s="31">
        <v>1</v>
      </c>
      <c r="U146" s="83"/>
      <c r="V146" s="78"/>
      <c r="W146" s="78"/>
      <c r="X146" s="78"/>
      <c r="Y146" s="78"/>
      <c r="Z146" s="78"/>
      <c r="AA146" s="78"/>
      <c r="AB146" s="79"/>
      <c r="AC146" s="79"/>
      <c r="AD146" s="79"/>
      <c r="AF146" s="35"/>
      <c r="AG146" s="35"/>
      <c r="AI146" s="35"/>
    </row>
    <row r="147" spans="1:39" s="60" customFormat="1" ht="13.5" customHeight="1" x14ac:dyDescent="0.35">
      <c r="A147" s="35"/>
      <c r="B147" s="35"/>
      <c r="C147" s="66" t="e">
        <f>VLOOKUP(B146,Уч!$A$2:$L$26,5,FALSE)</f>
        <v>#N/A</v>
      </c>
      <c r="D147" s="109" t="e">
        <f>VLOOKUP(B146,Уч!$A$2:$L$26,4,FALSE)</f>
        <v>#N/A</v>
      </c>
      <c r="E147" s="33" t="s">
        <v>97</v>
      </c>
      <c r="F147" s="68" t="e">
        <f>VLOOKUP($B146,'100 м 1'!$C$18:$I$86,6,FALSE)</f>
        <v>#N/A</v>
      </c>
      <c r="G147" s="69" t="e">
        <f>VLOOKUP($B146,'длина 2 '!$C$16:$O$54,12,FALSE)</f>
        <v>#N/A</v>
      </c>
      <c r="H147" s="70"/>
      <c r="I147" s="69"/>
      <c r="J147" s="69"/>
      <c r="K147" s="69" t="e">
        <f>VLOOKUP($B146,'1cб_р'!$C$17:$I$63,6,FALSE)</f>
        <v>#N/A</v>
      </c>
      <c r="L147" s="69"/>
      <c r="M147" s="69"/>
      <c r="N147" s="70"/>
      <c r="O147" s="70"/>
      <c r="P147" s="97"/>
      <c r="Q147" s="36"/>
      <c r="R147" s="63"/>
      <c r="S147" s="31" t="e">
        <f>$A146</f>
        <v>#N/A</v>
      </c>
      <c r="T147" s="31">
        <v>2</v>
      </c>
      <c r="U147" s="83"/>
      <c r="V147" s="78"/>
      <c r="W147" s="78"/>
      <c r="X147" s="78"/>
      <c r="Y147" s="78"/>
      <c r="Z147" s="78"/>
      <c r="AA147" s="78"/>
      <c r="AB147" s="79"/>
      <c r="AC147" s="79"/>
      <c r="AD147" s="79"/>
      <c r="AF147" s="35"/>
      <c r="AG147" s="35"/>
      <c r="AI147" s="35"/>
    </row>
    <row r="148" spans="1:39" s="60" customFormat="1" ht="13.5" customHeight="1" x14ac:dyDescent="0.35">
      <c r="A148" s="35"/>
      <c r="B148" s="35"/>
      <c r="C148" s="67" t="str">
        <f>VLOOKUP(B146,Уч!$A$2:$L$26,7)</f>
        <v>ГБФСУ КО "СШОР по легкой атлетике им. В.А.Савенкова", ГАУ КО "ЦП ССК"</v>
      </c>
      <c r="D148" s="109"/>
      <c r="E148" s="33" t="s">
        <v>77</v>
      </c>
      <c r="F148" s="72" t="e">
        <f>VLOOKUP($B146,'100 м 1'!$C$18:$I$86,7,FALSE)</f>
        <v>#N/A</v>
      </c>
      <c r="G148" s="70" t="e">
        <f>VLOOKUP($B146,'длина 2 '!$C$16:$O$54,13,FALSE)</f>
        <v>#N/A</v>
      </c>
      <c r="H148" s="70" t="e">
        <f>VLOOKUP($B146,'ядро 2'!$C$16:$K$60,9,FALSE)</f>
        <v>#N/A</v>
      </c>
      <c r="I148" s="70" t="e">
        <f>VLOOKUP($B146,'высота 2'!$C$16:$AF$57,14,FALSE)</f>
        <v>#N/A</v>
      </c>
      <c r="J148" s="70" t="e">
        <f>VLOOKUP($B146,'4_р'!$C$17:$H$73,6,FALSE)</f>
        <v>#N/A</v>
      </c>
      <c r="K148" s="70" t="e">
        <f>VLOOKUP($B146,'1cб_р'!$C$17:$I$63,7,FALSE)</f>
        <v>#N/A</v>
      </c>
      <c r="L148" s="70" t="e">
        <f>VLOOKUP($B146,Дс_р!$C$16:$K$70,9,FALSE)</f>
        <v>#N/A</v>
      </c>
      <c r="M148" s="70" t="e">
        <f>VLOOKUP($B146,Ш_р!$C$15:$AF$69,18,FALSE)</f>
        <v>#N/A</v>
      </c>
      <c r="N148" s="70" t="e">
        <f>VLOOKUP($B146,К_р!$C$15:$K$68,9,FALSE)</f>
        <v>#N/A</v>
      </c>
      <c r="O148" s="70" t="e">
        <f>VLOOKUP($B146,'15_р'!$C$17:$H$86,6,FALSE)</f>
        <v>#N/A</v>
      </c>
      <c r="P148" s="97"/>
      <c r="Q148" s="36"/>
      <c r="R148" s="63"/>
      <c r="S148" s="31" t="e">
        <f>$A146</f>
        <v>#N/A</v>
      </c>
      <c r="T148" s="31">
        <v>3</v>
      </c>
      <c r="U148" s="83"/>
      <c r="V148" s="78"/>
      <c r="W148" s="78"/>
      <c r="X148" s="78"/>
      <c r="Y148" s="78"/>
      <c r="Z148" s="78"/>
      <c r="AA148" s="78"/>
      <c r="AB148" s="79"/>
      <c r="AC148" s="79"/>
      <c r="AD148" s="79"/>
      <c r="AF148" s="35"/>
      <c r="AG148" s="35"/>
      <c r="AI148" s="35"/>
    </row>
    <row r="149" spans="1:39" s="60" customFormat="1" ht="13.5" customHeight="1" x14ac:dyDescent="0.35">
      <c r="A149" s="35"/>
      <c r="B149" s="35"/>
      <c r="C149" s="66" t="e">
        <f>VLOOKUP(B146,Уч!$A$2:$L$26,11,FALSE)</f>
        <v>#N/A</v>
      </c>
      <c r="D149" s="109"/>
      <c r="E149" s="33" t="s">
        <v>98</v>
      </c>
      <c r="F149" s="72" t="e">
        <f>F148</f>
        <v>#N/A</v>
      </c>
      <c r="G149" s="70" t="e">
        <f>F149+G148</f>
        <v>#N/A</v>
      </c>
      <c r="H149" s="70" t="e">
        <f>G149+H148</f>
        <v>#N/A</v>
      </c>
      <c r="I149" s="70" t="e">
        <f>H149+I148</f>
        <v>#N/A</v>
      </c>
      <c r="J149" s="70" t="e">
        <f>SUM($F148:J148)</f>
        <v>#N/A</v>
      </c>
      <c r="K149" s="70" t="e">
        <f>SUM($F148:$K148)</f>
        <v>#N/A</v>
      </c>
      <c r="L149" s="70" t="e">
        <f>K149+L148</f>
        <v>#N/A</v>
      </c>
      <c r="M149" s="70" t="e">
        <f>L149+M148</f>
        <v>#N/A</v>
      </c>
      <c r="N149" s="70" t="e">
        <f>SUM($F148:$N148)</f>
        <v>#N/A</v>
      </c>
      <c r="O149" s="70" t="e">
        <f>SUM($F148:$O148)</f>
        <v>#N/A</v>
      </c>
      <c r="P149" s="97"/>
      <c r="Q149" s="36"/>
      <c r="R149" s="63"/>
      <c r="S149" s="31" t="e">
        <f>$A146</f>
        <v>#N/A</v>
      </c>
      <c r="T149" s="31">
        <v>4</v>
      </c>
      <c r="U149" s="63" t="e">
        <f t="shared" ref="U149:AD149" si="27">F149</f>
        <v>#N/A</v>
      </c>
      <c r="V149" s="63" t="e">
        <f t="shared" si="27"/>
        <v>#N/A</v>
      </c>
      <c r="W149" s="63" t="e">
        <f t="shared" si="27"/>
        <v>#N/A</v>
      </c>
      <c r="X149" s="63" t="e">
        <f t="shared" si="27"/>
        <v>#N/A</v>
      </c>
      <c r="Y149" s="63" t="e">
        <f t="shared" si="27"/>
        <v>#N/A</v>
      </c>
      <c r="Z149" s="63" t="e">
        <f t="shared" si="27"/>
        <v>#N/A</v>
      </c>
      <c r="AA149" s="63" t="e">
        <f t="shared" si="27"/>
        <v>#N/A</v>
      </c>
      <c r="AB149" s="63" t="e">
        <f t="shared" si="27"/>
        <v>#N/A</v>
      </c>
      <c r="AC149" s="63" t="e">
        <f t="shared" si="27"/>
        <v>#N/A</v>
      </c>
      <c r="AD149" s="63" t="e">
        <f t="shared" si="27"/>
        <v>#N/A</v>
      </c>
      <c r="AF149" s="35"/>
      <c r="AG149" s="35"/>
      <c r="AI149" s="35"/>
    </row>
    <row r="150" spans="1:39" s="60" customFormat="1" ht="13.5" customHeight="1" thickBot="1" x14ac:dyDescent="0.4">
      <c r="A150" s="73"/>
      <c r="B150" s="73"/>
      <c r="C150" s="74" t="e">
        <f>VLOOKUP(B146,Уч!$A$2:$L$26,12,FALSE)</f>
        <v>#N/A</v>
      </c>
      <c r="D150" s="110"/>
      <c r="E150" s="43" t="s">
        <v>37</v>
      </c>
      <c r="F150" s="75" t="e">
        <f>RANK(F149,$U$19:$U$160,0)</f>
        <v>#N/A</v>
      </c>
      <c r="G150" s="76" t="e">
        <f>RANK(G149,$V$19:$V$160,0)</f>
        <v>#N/A</v>
      </c>
      <c r="H150" s="76" t="e">
        <f>RANK(H149,$W$19:$W$160,0)</f>
        <v>#N/A</v>
      </c>
      <c r="I150" s="76" t="e">
        <f>RANK(I149,$X$19:$X$160,0)</f>
        <v>#N/A</v>
      </c>
      <c r="J150" s="76" t="e">
        <f>RANK(J149,$Y$19:$Y$160,0)</f>
        <v>#N/A</v>
      </c>
      <c r="K150" s="76" t="e">
        <f>RANK(K149,$Z$19:$Z$160,0)</f>
        <v>#N/A</v>
      </c>
      <c r="L150" s="76" t="e">
        <f>RANK(L149,$AA$19:$AA$160,0)</f>
        <v>#N/A</v>
      </c>
      <c r="M150" s="76" t="e">
        <f>RANK(M149,$AB$19:$AB$150,0)</f>
        <v>#N/A</v>
      </c>
      <c r="N150" s="76" t="e">
        <f>RANK(N149,$AC$19:$AC$160,0)</f>
        <v>#N/A</v>
      </c>
      <c r="O150" s="76" t="e">
        <f>RANK(O149,$AD$19:$AD$160,0)</f>
        <v>#N/A</v>
      </c>
      <c r="P150" s="98"/>
      <c r="Q150" s="50"/>
      <c r="R150" s="77"/>
      <c r="S150" s="31" t="e">
        <f>$A146</f>
        <v>#N/A</v>
      </c>
      <c r="T150" s="31">
        <v>5</v>
      </c>
      <c r="U150" s="83"/>
      <c r="V150" s="78"/>
      <c r="W150" s="78"/>
      <c r="X150" s="78"/>
      <c r="Y150" s="78"/>
      <c r="Z150" s="78"/>
      <c r="AA150" s="78"/>
      <c r="AB150" s="79"/>
      <c r="AC150" s="79"/>
      <c r="AD150" s="79"/>
      <c r="AF150" s="35"/>
      <c r="AG150" s="35"/>
      <c r="AI150" s="35"/>
    </row>
    <row r="151" spans="1:39" s="60" customFormat="1" ht="13.5" customHeight="1" thickTop="1" x14ac:dyDescent="0.35">
      <c r="A151" s="35" t="s">
        <v>105</v>
      </c>
      <c r="B151" s="35">
        <v>63</v>
      </c>
      <c r="C151" s="60" t="e">
        <f>VLOOKUP(B151,Уч!$A$2:$L$26,2,FALSE)</f>
        <v>#N/A</v>
      </c>
      <c r="D151" s="107" t="e">
        <f>VLOOKUP(B151,Уч!$A$2:$L$26,3,FALSE)</f>
        <v>#N/A</v>
      </c>
      <c r="E151" s="33" t="s">
        <v>28</v>
      </c>
      <c r="F151" s="61" t="s">
        <v>107</v>
      </c>
      <c r="G151" s="62"/>
      <c r="H151" s="62"/>
      <c r="I151" s="62"/>
      <c r="J151" s="62"/>
      <c r="K151" s="62"/>
      <c r="L151" s="62"/>
      <c r="M151" s="62"/>
      <c r="N151" s="62"/>
      <c r="O151" s="70"/>
      <c r="P151" s="97"/>
      <c r="Q151" s="35"/>
      <c r="R151" s="35"/>
      <c r="S151" s="31" t="str">
        <f>$A151</f>
        <v>бм</v>
      </c>
      <c r="T151" s="31">
        <v>1</v>
      </c>
      <c r="U151" s="64"/>
      <c r="V151" s="64"/>
      <c r="W151" s="64"/>
      <c r="X151" s="64"/>
      <c r="Y151" s="64"/>
      <c r="Z151" s="64"/>
      <c r="AA151" s="64"/>
      <c r="AB151" s="64"/>
      <c r="AC151" s="64"/>
      <c r="AD151" s="64"/>
      <c r="AE151" s="31"/>
      <c r="AF151" s="65" t="s">
        <v>37</v>
      </c>
      <c r="AG151" s="36" t="s">
        <v>77</v>
      </c>
      <c r="AH151" s="65" t="s">
        <v>76</v>
      </c>
      <c r="AI151" s="35" t="s">
        <v>77</v>
      </c>
      <c r="AJ151" s="31"/>
      <c r="AK151" s="31"/>
      <c r="AL151" s="31"/>
      <c r="AM151" s="31"/>
    </row>
    <row r="152" spans="1:39" s="60" customFormat="1" ht="13.5" customHeight="1" x14ac:dyDescent="0.35">
      <c r="A152" s="35"/>
      <c r="B152" s="35"/>
      <c r="C152" s="66" t="e">
        <f>VLOOKUP(B151,Уч!$A$2:$L$26,5,FALSE)</f>
        <v>#N/A</v>
      </c>
      <c r="D152" s="109" t="e">
        <f>VLOOKUP(B151,Уч!$A$2:$L$26,4,FALSE)</f>
        <v>#N/A</v>
      </c>
      <c r="E152" s="33" t="s">
        <v>97</v>
      </c>
      <c r="F152" s="68"/>
      <c r="G152" s="69"/>
      <c r="H152" s="70"/>
      <c r="I152" s="69"/>
      <c r="J152" s="69"/>
      <c r="K152" s="69"/>
      <c r="L152" s="69"/>
      <c r="M152" s="69"/>
      <c r="N152" s="70"/>
      <c r="O152" s="70"/>
      <c r="P152" s="97"/>
      <c r="Q152" s="36"/>
      <c r="R152" s="63"/>
      <c r="S152" s="31" t="str">
        <f>$A151</f>
        <v>бм</v>
      </c>
      <c r="T152" s="31">
        <v>2</v>
      </c>
      <c r="U152" s="64"/>
      <c r="V152" s="64"/>
      <c r="W152" s="64"/>
      <c r="X152" s="64"/>
      <c r="Y152" s="64"/>
      <c r="Z152" s="64"/>
      <c r="AA152" s="64"/>
      <c r="AB152" s="64"/>
      <c r="AC152" s="64"/>
      <c r="AD152" s="64"/>
      <c r="AE152" s="31"/>
      <c r="AF152" s="65">
        <v>1</v>
      </c>
      <c r="AG152" s="36">
        <v>20</v>
      </c>
      <c r="AH152" s="36" t="s">
        <v>78</v>
      </c>
      <c r="AI152" s="35"/>
      <c r="AJ152" s="31"/>
      <c r="AK152" s="31"/>
      <c r="AL152" s="31"/>
      <c r="AM152" s="31"/>
    </row>
    <row r="153" spans="1:39" s="60" customFormat="1" ht="13.5" customHeight="1" x14ac:dyDescent="0.35">
      <c r="A153" s="35"/>
      <c r="B153" s="35"/>
      <c r="C153" s="67" t="str">
        <f>VLOOKUP(B151,Уч!$A$2:$L$26,7)</f>
        <v>МБУ ДО ДЮСШ №6</v>
      </c>
      <c r="D153" s="109"/>
      <c r="E153" s="33" t="s">
        <v>77</v>
      </c>
      <c r="F153" s="72"/>
      <c r="G153" s="70"/>
      <c r="H153" s="70"/>
      <c r="I153" s="70"/>
      <c r="J153" s="70"/>
      <c r="K153" s="70"/>
      <c r="L153" s="70"/>
      <c r="M153" s="70"/>
      <c r="N153" s="70"/>
      <c r="O153" s="70"/>
      <c r="P153" s="97"/>
      <c r="Q153" s="36"/>
      <c r="R153" s="63"/>
      <c r="S153" s="31" t="str">
        <f>$A151</f>
        <v>бм</v>
      </c>
      <c r="T153" s="31">
        <v>3</v>
      </c>
      <c r="U153" s="64"/>
      <c r="V153" s="64"/>
      <c r="W153" s="64"/>
      <c r="X153" s="64"/>
      <c r="Y153" s="64"/>
      <c r="Z153" s="64"/>
      <c r="AA153" s="64"/>
      <c r="AB153" s="64"/>
      <c r="AC153" s="64"/>
      <c r="AD153" s="64"/>
      <c r="AE153" s="31"/>
      <c r="AF153" s="65">
        <v>2</v>
      </c>
      <c r="AG153" s="36">
        <v>17</v>
      </c>
      <c r="AH153" s="65" t="s">
        <v>62</v>
      </c>
      <c r="AI153" s="35">
        <v>15</v>
      </c>
      <c r="AJ153" s="31"/>
      <c r="AK153" s="31"/>
      <c r="AL153" s="31"/>
      <c r="AM153" s="31"/>
    </row>
    <row r="154" spans="1:39" s="60" customFormat="1" ht="13.5" customHeight="1" x14ac:dyDescent="0.35">
      <c r="A154" s="35"/>
      <c r="B154" s="35"/>
      <c r="C154" s="66" t="e">
        <f>VLOOKUP(B151,Уч!$A$2:$L$26,11,FALSE)</f>
        <v>#N/A</v>
      </c>
      <c r="D154" s="109"/>
      <c r="E154" s="33" t="s">
        <v>98</v>
      </c>
      <c r="F154" s="72"/>
      <c r="G154" s="70"/>
      <c r="H154" s="70"/>
      <c r="I154" s="70"/>
      <c r="J154" s="70"/>
      <c r="K154" s="70"/>
      <c r="L154" s="70"/>
      <c r="M154" s="70"/>
      <c r="N154" s="70"/>
      <c r="O154" s="70"/>
      <c r="P154" s="97"/>
      <c r="Q154" s="36"/>
      <c r="R154" s="63"/>
      <c r="S154" s="31" t="str">
        <f>$A151</f>
        <v>бм</v>
      </c>
      <c r="T154" s="31">
        <v>4</v>
      </c>
      <c r="U154" s="63">
        <f t="shared" ref="U154:AD154" si="28">F154</f>
        <v>0</v>
      </c>
      <c r="V154" s="63">
        <f t="shared" si="28"/>
        <v>0</v>
      </c>
      <c r="W154" s="63">
        <f t="shared" si="28"/>
        <v>0</v>
      </c>
      <c r="X154" s="63">
        <f t="shared" si="28"/>
        <v>0</v>
      </c>
      <c r="Y154" s="63">
        <f t="shared" si="28"/>
        <v>0</v>
      </c>
      <c r="Z154" s="63">
        <f t="shared" si="28"/>
        <v>0</v>
      </c>
      <c r="AA154" s="63">
        <f t="shared" si="28"/>
        <v>0</v>
      </c>
      <c r="AB154" s="63">
        <f t="shared" si="28"/>
        <v>0</v>
      </c>
      <c r="AC154" s="63">
        <f t="shared" si="28"/>
        <v>0</v>
      </c>
      <c r="AD154" s="63">
        <f t="shared" si="28"/>
        <v>0</v>
      </c>
      <c r="AE154" s="31"/>
      <c r="AF154" s="65">
        <v>3</v>
      </c>
      <c r="AG154" s="36">
        <v>15</v>
      </c>
      <c r="AH154" s="65" t="s">
        <v>60</v>
      </c>
      <c r="AI154" s="35">
        <v>5</v>
      </c>
      <c r="AJ154" s="31"/>
      <c r="AK154" s="31"/>
      <c r="AL154" s="31"/>
      <c r="AM154" s="31"/>
    </row>
    <row r="155" spans="1:39" s="60" customFormat="1" ht="13.5" customHeight="1" thickBot="1" x14ac:dyDescent="0.4">
      <c r="A155" s="73"/>
      <c r="B155" s="73"/>
      <c r="C155" s="74" t="e">
        <f>VLOOKUP(B151,Уч!$A$2:$L$26,12,FALSE)</f>
        <v>#N/A</v>
      </c>
      <c r="D155" s="110"/>
      <c r="E155" s="43" t="s">
        <v>37</v>
      </c>
      <c r="F155" s="75"/>
      <c r="G155" s="76"/>
      <c r="H155" s="76"/>
      <c r="I155" s="76"/>
      <c r="J155" s="76"/>
      <c r="K155" s="76"/>
      <c r="L155" s="76"/>
      <c r="M155" s="76"/>
      <c r="N155" s="76"/>
      <c r="O155" s="76"/>
      <c r="P155" s="98"/>
      <c r="Q155" s="50"/>
      <c r="R155" s="77"/>
      <c r="S155" s="31" t="str">
        <f>$A151</f>
        <v>бм</v>
      </c>
      <c r="T155" s="31">
        <v>5</v>
      </c>
      <c r="U155" s="64"/>
      <c r="V155" s="64"/>
      <c r="W155" s="64"/>
      <c r="X155" s="64"/>
      <c r="Y155" s="64"/>
      <c r="Z155" s="64"/>
      <c r="AA155" s="64"/>
      <c r="AB155" s="64"/>
      <c r="AC155" s="64"/>
      <c r="AD155" s="64"/>
      <c r="AE155" s="31"/>
      <c r="AF155" s="65">
        <v>4</v>
      </c>
      <c r="AG155" s="36">
        <v>14</v>
      </c>
      <c r="AI155" s="35"/>
      <c r="AJ155" s="31"/>
      <c r="AK155" s="31"/>
      <c r="AL155" s="31"/>
      <c r="AM155" s="31"/>
    </row>
    <row r="156" spans="1:39" s="60" customFormat="1" ht="13.5" customHeight="1" thickTop="1" x14ac:dyDescent="0.35">
      <c r="A156" s="35"/>
      <c r="B156" s="35"/>
      <c r="C156" s="66"/>
      <c r="D156" s="71"/>
      <c r="E156" s="33"/>
      <c r="F156" s="70"/>
      <c r="G156" s="70"/>
      <c r="H156" s="70"/>
      <c r="I156" s="103"/>
      <c r="J156" s="103"/>
      <c r="K156" s="103"/>
      <c r="L156" s="103"/>
      <c r="M156" s="103"/>
      <c r="N156" s="103"/>
      <c r="O156" s="103"/>
      <c r="P156" s="63"/>
      <c r="Q156" s="36"/>
      <c r="R156" s="63"/>
      <c r="S156" s="31"/>
      <c r="T156" s="31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31"/>
      <c r="AF156" s="65"/>
      <c r="AG156" s="36"/>
      <c r="AI156" s="35"/>
      <c r="AJ156" s="31"/>
      <c r="AK156" s="31"/>
      <c r="AL156" s="31"/>
      <c r="AM156" s="31"/>
    </row>
    <row r="157" spans="1:39" s="60" customFormat="1" ht="13.5" customHeight="1" x14ac:dyDescent="0.35">
      <c r="B157" s="35"/>
      <c r="C157" s="60" t="s">
        <v>87</v>
      </c>
      <c r="D157" s="36"/>
      <c r="G157" s="35"/>
      <c r="H157" s="35"/>
      <c r="J157" s="36"/>
      <c r="K157" s="35" t="s">
        <v>108</v>
      </c>
      <c r="L157" s="35"/>
      <c r="M157" s="35"/>
      <c r="N157" s="35"/>
      <c r="O157" s="35"/>
      <c r="P157" s="80"/>
      <c r="Q157" s="80"/>
      <c r="R157" s="80"/>
      <c r="S157" s="80"/>
      <c r="T157" s="80"/>
      <c r="U157" s="78"/>
      <c r="V157" s="78"/>
      <c r="W157" s="78"/>
      <c r="X157" s="78"/>
      <c r="Y157" s="78"/>
      <c r="Z157" s="78"/>
      <c r="AA157" s="78"/>
      <c r="AB157" s="79"/>
      <c r="AC157" s="79"/>
      <c r="AD157" s="79"/>
      <c r="AF157" s="35"/>
      <c r="AG157" s="35"/>
      <c r="AI157" s="35"/>
    </row>
    <row r="158" spans="1:39" s="60" customFormat="1" ht="13.5" customHeight="1" x14ac:dyDescent="0.35">
      <c r="B158" s="35"/>
      <c r="D158" s="36"/>
      <c r="G158" s="35"/>
      <c r="H158" s="35"/>
      <c r="K158" s="35"/>
      <c r="L158" s="35"/>
      <c r="M158" s="35"/>
      <c r="N158" s="35"/>
      <c r="O158" s="35"/>
      <c r="P158" s="80"/>
      <c r="Q158" s="80"/>
      <c r="R158" s="80"/>
      <c r="S158" s="80"/>
      <c r="T158" s="80"/>
      <c r="U158" s="78"/>
      <c r="V158" s="78"/>
      <c r="W158" s="78"/>
      <c r="X158" s="78"/>
      <c r="Y158" s="78"/>
      <c r="Z158" s="78"/>
      <c r="AA158" s="78"/>
      <c r="AB158" s="79"/>
      <c r="AC158" s="79"/>
      <c r="AD158" s="79"/>
      <c r="AF158" s="35"/>
      <c r="AG158" s="35"/>
      <c r="AI158" s="35"/>
    </row>
    <row r="159" spans="1:39" s="60" customFormat="1" ht="13.5" customHeight="1" x14ac:dyDescent="0.35">
      <c r="B159" s="35"/>
      <c r="C159" s="60" t="s">
        <v>88</v>
      </c>
      <c r="D159" s="36"/>
      <c r="G159" s="35"/>
      <c r="H159" s="35"/>
      <c r="K159" s="35" t="s">
        <v>109</v>
      </c>
      <c r="L159" s="35"/>
      <c r="M159" s="35"/>
      <c r="N159" s="35"/>
      <c r="O159" s="35"/>
      <c r="P159" s="80"/>
      <c r="Q159" s="80"/>
      <c r="R159" s="80"/>
      <c r="S159" s="80"/>
      <c r="T159" s="80"/>
      <c r="U159" s="78"/>
      <c r="V159" s="78"/>
      <c r="W159" s="78"/>
      <c r="X159" s="78"/>
      <c r="Y159" s="78"/>
      <c r="Z159" s="78"/>
      <c r="AA159" s="78"/>
      <c r="AB159" s="79"/>
      <c r="AC159" s="79"/>
      <c r="AD159" s="79"/>
      <c r="AF159" s="35"/>
      <c r="AG159" s="35"/>
      <c r="AI159" s="35"/>
    </row>
  </sheetData>
  <sortState ref="A16:AD120">
    <sortCondition ref="S16:S120"/>
  </sortState>
  <printOptions horizontalCentered="1"/>
  <pageMargins left="0.39370078740157483" right="0.39370078740157483" top="0.39370078740157483" bottom="0.39370078740157483" header="0.59055118110236227" footer="0.39370078740157483"/>
  <pageSetup paperSize="9" scale="71" orientation="portrait" verticalDpi="300" r:id="rId1"/>
  <headerFooter alignWithMargins="0">
    <oddFooter>&amp;Lrybakov@rusathletics.com</oddFooter>
  </headerFooter>
  <rowBreaks count="2" manualBreakCount="2">
    <brk id="75" max="17" man="1"/>
    <brk id="155" max="1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33"/>
  </sheetPr>
  <dimension ref="A1:A21"/>
  <sheetViews>
    <sheetView workbookViewId="0">
      <selection activeCell="M25" sqref="M25"/>
    </sheetView>
  </sheetViews>
  <sheetFormatPr defaultColWidth="9.109375" defaultRowHeight="16.8" x14ac:dyDescent="0.35"/>
  <cols>
    <col min="1" max="1" width="13.6640625" style="24" customWidth="1"/>
    <col min="2" max="16384" width="9.109375" style="24"/>
  </cols>
  <sheetData>
    <row r="1" spans="1:1" x14ac:dyDescent="0.35">
      <c r="A1" s="24" t="s">
        <v>38</v>
      </c>
    </row>
    <row r="2" spans="1:1" x14ac:dyDescent="0.35">
      <c r="A2" s="24" t="s">
        <v>39</v>
      </c>
    </row>
    <row r="3" spans="1:1" x14ac:dyDescent="0.35">
      <c r="A3" s="27" t="s">
        <v>58</v>
      </c>
    </row>
    <row r="4" spans="1:1" x14ac:dyDescent="0.35">
      <c r="A4" s="25" t="s">
        <v>40</v>
      </c>
    </row>
    <row r="5" spans="1:1" x14ac:dyDescent="0.35">
      <c r="A5" s="24" t="s">
        <v>41</v>
      </c>
    </row>
    <row r="6" spans="1:1" x14ac:dyDescent="0.35">
      <c r="A6" s="25" t="s">
        <v>48</v>
      </c>
    </row>
    <row r="7" spans="1:1" x14ac:dyDescent="0.35">
      <c r="A7" s="24" t="s">
        <v>49</v>
      </c>
    </row>
    <row r="8" spans="1:1" x14ac:dyDescent="0.35">
      <c r="A8" s="25" t="s">
        <v>57</v>
      </c>
    </row>
    <row r="9" spans="1:1" x14ac:dyDescent="0.35">
      <c r="A9" s="24" t="s">
        <v>45</v>
      </c>
    </row>
    <row r="10" spans="1:1" x14ac:dyDescent="0.35">
      <c r="A10" s="24" t="s">
        <v>44</v>
      </c>
    </row>
    <row r="11" spans="1:1" x14ac:dyDescent="0.35">
      <c r="A11" s="24" t="s">
        <v>46</v>
      </c>
    </row>
    <row r="12" spans="1:1" x14ac:dyDescent="0.35">
      <c r="A12" s="24" t="s">
        <v>55</v>
      </c>
    </row>
    <row r="13" spans="1:1" x14ac:dyDescent="0.35">
      <c r="A13" s="24" t="s">
        <v>42</v>
      </c>
    </row>
    <row r="14" spans="1:1" x14ac:dyDescent="0.35">
      <c r="A14" s="24" t="s">
        <v>43</v>
      </c>
    </row>
    <row r="15" spans="1:1" x14ac:dyDescent="0.35">
      <c r="A15" s="24" t="s">
        <v>56</v>
      </c>
    </row>
    <row r="16" spans="1:1" x14ac:dyDescent="0.35">
      <c r="A16" s="24" t="s">
        <v>47</v>
      </c>
    </row>
    <row r="17" spans="1:1" x14ac:dyDescent="0.35">
      <c r="A17" s="24" t="s">
        <v>50</v>
      </c>
    </row>
    <row r="18" spans="1:1" x14ac:dyDescent="0.35">
      <c r="A18" s="24" t="s">
        <v>51</v>
      </c>
    </row>
    <row r="19" spans="1:1" x14ac:dyDescent="0.35">
      <c r="A19" s="26" t="s">
        <v>54</v>
      </c>
    </row>
    <row r="20" spans="1:1" x14ac:dyDescent="0.35">
      <c r="A20" s="25" t="s">
        <v>52</v>
      </c>
    </row>
    <row r="21" spans="1:1" x14ac:dyDescent="0.35">
      <c r="A21" s="24" t="s">
        <v>53</v>
      </c>
    </row>
  </sheetData>
  <phoneticPr fontId="9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M29"/>
  <sheetViews>
    <sheetView workbookViewId="0">
      <selection activeCell="M25" sqref="M25"/>
    </sheetView>
  </sheetViews>
  <sheetFormatPr defaultRowHeight="15" x14ac:dyDescent="0.35"/>
  <cols>
    <col min="1" max="1" width="28.88671875" customWidth="1"/>
    <col min="2" max="2" width="10.44140625" customWidth="1"/>
  </cols>
  <sheetData>
    <row r="1" spans="1:4" x14ac:dyDescent="0.35">
      <c r="A1" s="102" t="s">
        <v>463</v>
      </c>
      <c r="B1" s="1" t="s">
        <v>253</v>
      </c>
      <c r="C1" s="41" t="s">
        <v>254</v>
      </c>
    </row>
    <row r="2" spans="1:4" x14ac:dyDescent="0.35">
      <c r="A2" s="1" t="s">
        <v>247</v>
      </c>
      <c r="B2" s="112">
        <v>0.39583333333333331</v>
      </c>
      <c r="C2" s="39"/>
    </row>
    <row r="3" spans="1:4" x14ac:dyDescent="0.35">
      <c r="A3" s="1" t="s">
        <v>248</v>
      </c>
      <c r="B3" s="113">
        <v>0.42708333333333331</v>
      </c>
    </row>
    <row r="4" spans="1:4" x14ac:dyDescent="0.35">
      <c r="A4" s="1" t="s">
        <v>255</v>
      </c>
      <c r="B4" s="114">
        <v>0.46875</v>
      </c>
    </row>
    <row r="5" spans="1:4" x14ac:dyDescent="0.35">
      <c r="A5" s="1" t="s">
        <v>249</v>
      </c>
      <c r="B5" s="113">
        <v>0.625</v>
      </c>
      <c r="C5" s="40"/>
    </row>
    <row r="6" spans="1:4" x14ac:dyDescent="0.35">
      <c r="A6" s="1" t="s">
        <v>250</v>
      </c>
      <c r="B6" s="115">
        <v>0.72916666666666663</v>
      </c>
      <c r="C6" s="40"/>
    </row>
    <row r="7" spans="1:4" x14ac:dyDescent="0.35">
      <c r="A7" s="102" t="s">
        <v>336</v>
      </c>
      <c r="B7" s="5"/>
      <c r="C7" s="40"/>
    </row>
    <row r="8" spans="1:4" x14ac:dyDescent="0.35">
      <c r="A8" s="1" t="s">
        <v>256</v>
      </c>
      <c r="B8" s="112">
        <v>0.41666666666666669</v>
      </c>
      <c r="C8" s="40"/>
    </row>
    <row r="9" spans="1:4" x14ac:dyDescent="0.35">
      <c r="A9" s="54" t="s">
        <v>257</v>
      </c>
      <c r="B9" s="114">
        <v>0.4513888888888889</v>
      </c>
      <c r="C9" s="39"/>
      <c r="D9" s="40"/>
    </row>
    <row r="10" spans="1:4" x14ac:dyDescent="0.35">
      <c r="A10" s="1" t="s">
        <v>251</v>
      </c>
      <c r="B10" s="114">
        <v>0.52777777777777779</v>
      </c>
      <c r="C10" s="40"/>
    </row>
    <row r="11" spans="1:4" x14ac:dyDescent="0.35">
      <c r="A11" s="1" t="s">
        <v>258</v>
      </c>
      <c r="B11" s="114">
        <v>0.625</v>
      </c>
      <c r="C11" s="40"/>
    </row>
    <row r="12" spans="1:4" ht="15.6" thickBot="1" x14ac:dyDescent="0.4">
      <c r="A12" s="1" t="s">
        <v>252</v>
      </c>
      <c r="B12" s="114">
        <v>0.76388888888888884</v>
      </c>
      <c r="C12" s="40"/>
    </row>
    <row r="13" spans="1:4" ht="27" thickBot="1" x14ac:dyDescent="0.4">
      <c r="A13" s="46"/>
      <c r="B13" s="40"/>
      <c r="C13" s="30" t="s">
        <v>86</v>
      </c>
    </row>
    <row r="14" spans="1:4" x14ac:dyDescent="0.35">
      <c r="A14" s="2" t="s">
        <v>13</v>
      </c>
      <c r="B14" s="84">
        <v>9039</v>
      </c>
      <c r="C14" s="86">
        <v>8617</v>
      </c>
    </row>
    <row r="15" spans="1:4" x14ac:dyDescent="0.35">
      <c r="A15" s="3" t="s">
        <v>14</v>
      </c>
      <c r="B15" s="38">
        <v>9026</v>
      </c>
      <c r="C15" s="87">
        <v>8617</v>
      </c>
    </row>
    <row r="16" spans="1:4" ht="15.6" thickBot="1" x14ac:dyDescent="0.4">
      <c r="A16" s="4" t="s">
        <v>15</v>
      </c>
      <c r="B16" s="85">
        <v>8698</v>
      </c>
      <c r="C16" s="88">
        <v>8365</v>
      </c>
    </row>
    <row r="17" spans="1:13" x14ac:dyDescent="0.35">
      <c r="A17" s="37"/>
      <c r="B17" s="38"/>
    </row>
    <row r="18" spans="1:13" x14ac:dyDescent="0.35">
      <c r="A18" s="37"/>
      <c r="B18" s="38"/>
    </row>
    <row r="19" spans="1:13" x14ac:dyDescent="0.35">
      <c r="A19" s="37"/>
      <c r="B19" s="38"/>
    </row>
    <row r="20" spans="1:13" x14ac:dyDescent="0.35">
      <c r="A20" s="37"/>
      <c r="B20" s="38"/>
    </row>
    <row r="21" spans="1:13" x14ac:dyDescent="0.35">
      <c r="A21" s="32" t="s">
        <v>119</v>
      </c>
      <c r="B21" s="28"/>
      <c r="C21" s="28"/>
      <c r="D21" s="28"/>
      <c r="E21" s="28"/>
      <c r="G21" s="28" t="s">
        <v>110</v>
      </c>
      <c r="H21" s="28"/>
      <c r="I21" s="28"/>
      <c r="J21" s="28"/>
      <c r="K21" s="28"/>
      <c r="L21" s="28"/>
      <c r="M21" s="28"/>
    </row>
    <row r="22" spans="1:13" x14ac:dyDescent="0.35">
      <c r="A22" s="32" t="s">
        <v>10</v>
      </c>
      <c r="B22" s="28"/>
      <c r="C22" s="28"/>
      <c r="D22" s="28"/>
      <c r="E22" s="28"/>
      <c r="G22" s="28"/>
      <c r="H22" s="28"/>
      <c r="I22" s="28"/>
      <c r="J22" s="28"/>
      <c r="K22" s="28"/>
      <c r="L22" s="28"/>
      <c r="M22" s="28"/>
    </row>
    <row r="23" spans="1:13" x14ac:dyDescent="0.35">
      <c r="A23" s="32" t="s">
        <v>68</v>
      </c>
      <c r="B23" s="28"/>
      <c r="C23" s="28"/>
      <c r="D23" s="28"/>
      <c r="E23" s="28"/>
      <c r="G23" s="28"/>
      <c r="H23" s="28"/>
      <c r="I23" s="28"/>
      <c r="J23" s="28"/>
      <c r="K23" s="28"/>
      <c r="L23" s="28"/>
      <c r="M23" s="28"/>
    </row>
    <row r="24" spans="1:13" ht="15" customHeight="1" x14ac:dyDescent="0.35">
      <c r="A24" s="7"/>
      <c r="B24" s="29"/>
      <c r="C24" s="29"/>
      <c r="D24" s="29"/>
      <c r="E24" s="29"/>
      <c r="G24" s="29"/>
      <c r="H24" s="29"/>
      <c r="I24" s="29"/>
      <c r="J24" s="29"/>
      <c r="K24" s="29"/>
      <c r="L24" s="29"/>
      <c r="M24" s="29"/>
    </row>
    <row r="25" spans="1:13" x14ac:dyDescent="0.35">
      <c r="A25" s="32" t="s">
        <v>351</v>
      </c>
      <c r="G25" t="s">
        <v>111</v>
      </c>
    </row>
    <row r="26" spans="1:13" x14ac:dyDescent="0.35">
      <c r="A26" s="7" t="s">
        <v>261</v>
      </c>
      <c r="G26" t="s">
        <v>112</v>
      </c>
    </row>
    <row r="27" spans="1:13" x14ac:dyDescent="0.35">
      <c r="A27" s="7" t="s">
        <v>322</v>
      </c>
      <c r="G27" t="s">
        <v>113</v>
      </c>
    </row>
    <row r="28" spans="1:13" x14ac:dyDescent="0.35">
      <c r="A28" s="7" t="s">
        <v>101</v>
      </c>
      <c r="C28" s="47"/>
      <c r="G28" t="s">
        <v>114</v>
      </c>
    </row>
    <row r="29" spans="1:13" x14ac:dyDescent="0.35">
      <c r="A29" s="7"/>
      <c r="G29" t="s">
        <v>114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indexed="34"/>
  </sheetPr>
  <dimension ref="A1:O43"/>
  <sheetViews>
    <sheetView topLeftCell="A25" zoomScale="80" zoomScaleNormal="80" workbookViewId="0">
      <selection activeCell="M25" sqref="M25"/>
    </sheetView>
  </sheetViews>
  <sheetFormatPr defaultColWidth="34.109375" defaultRowHeight="13.2" x14ac:dyDescent="0.25"/>
  <cols>
    <col min="1" max="1" width="6.109375" style="206" customWidth="1"/>
    <col min="2" max="2" width="22.44140625" style="250" bestFit="1" customWidth="1"/>
    <col min="3" max="3" width="12.109375" style="250" customWidth="1"/>
    <col min="4" max="4" width="7.88671875" style="250" customWidth="1"/>
    <col min="5" max="5" width="28" style="250" bestFit="1" customWidth="1"/>
    <col min="6" max="6" width="5.6640625" style="558" customWidth="1"/>
    <col min="7" max="7" width="43" style="250" bestFit="1" customWidth="1"/>
    <col min="8" max="8" width="11.109375" style="250" customWidth="1"/>
    <col min="9" max="9" width="13.44140625" style="250" customWidth="1"/>
    <col min="10" max="10" width="18.44140625" style="250" customWidth="1"/>
    <col min="11" max="11" width="30.6640625" style="250" bestFit="1" customWidth="1"/>
    <col min="12" max="12" width="8.6640625" style="250" customWidth="1"/>
    <col min="13" max="13" width="23.6640625" style="250" customWidth="1"/>
    <col min="14" max="14" width="18.6640625" style="250" customWidth="1"/>
    <col min="15" max="16384" width="34.109375" style="250"/>
  </cols>
  <sheetData>
    <row r="1" spans="1:15" s="429" customFormat="1" ht="27" thickBot="1" x14ac:dyDescent="0.3">
      <c r="A1" s="561" t="s">
        <v>6</v>
      </c>
      <c r="B1" s="562" t="s">
        <v>4</v>
      </c>
      <c r="C1" s="562" t="s">
        <v>5</v>
      </c>
      <c r="D1" s="562" t="s">
        <v>1</v>
      </c>
      <c r="E1" s="562" t="s">
        <v>8</v>
      </c>
      <c r="F1" s="562" t="s">
        <v>211</v>
      </c>
      <c r="G1" s="562"/>
      <c r="H1" s="562" t="s">
        <v>3</v>
      </c>
      <c r="I1" s="562" t="s">
        <v>9</v>
      </c>
      <c r="J1" s="562" t="s">
        <v>7</v>
      </c>
      <c r="K1" s="562" t="s">
        <v>2</v>
      </c>
      <c r="L1" s="562" t="s">
        <v>2</v>
      </c>
    </row>
    <row r="2" spans="1:15" ht="28.8" x14ac:dyDescent="0.25">
      <c r="A2" s="200">
        <v>36</v>
      </c>
      <c r="B2" s="727" t="s">
        <v>281</v>
      </c>
      <c r="C2" s="730" t="s">
        <v>282</v>
      </c>
      <c r="D2" s="728" t="s">
        <v>60</v>
      </c>
      <c r="E2" s="729" t="s">
        <v>358</v>
      </c>
      <c r="F2" s="727" t="s">
        <v>138</v>
      </c>
      <c r="G2" s="729" t="s">
        <v>299</v>
      </c>
      <c r="H2" s="727" t="s">
        <v>353</v>
      </c>
      <c r="I2" s="728" t="s">
        <v>60</v>
      </c>
      <c r="J2" s="727" t="s">
        <v>295</v>
      </c>
      <c r="K2" s="729" t="s">
        <v>359</v>
      </c>
      <c r="L2" s="732"/>
      <c r="M2" s="733"/>
      <c r="N2" s="733"/>
      <c r="O2" s="733"/>
    </row>
    <row r="3" spans="1:15" ht="28.8" x14ac:dyDescent="0.25">
      <c r="A3" s="200">
        <v>100</v>
      </c>
      <c r="B3" s="727" t="s">
        <v>435</v>
      </c>
      <c r="C3" s="727" t="s">
        <v>436</v>
      </c>
      <c r="D3" s="728" t="s">
        <v>62</v>
      </c>
      <c r="E3" s="729" t="s">
        <v>437</v>
      </c>
      <c r="F3" s="727" t="s">
        <v>138</v>
      </c>
      <c r="G3" s="729" t="s">
        <v>438</v>
      </c>
      <c r="H3" s="727" t="s">
        <v>353</v>
      </c>
      <c r="I3" s="728" t="s">
        <v>62</v>
      </c>
      <c r="J3" s="727" t="s">
        <v>423</v>
      </c>
      <c r="K3" s="729" t="s">
        <v>439</v>
      </c>
      <c r="L3" s="732"/>
      <c r="M3" s="733"/>
      <c r="N3" s="733"/>
      <c r="O3" s="733"/>
    </row>
    <row r="4" spans="1:15" ht="14.4" x14ac:dyDescent="0.25">
      <c r="A4" s="735">
        <v>114</v>
      </c>
      <c r="B4" s="727" t="s">
        <v>446</v>
      </c>
      <c r="C4" s="727" t="s">
        <v>447</v>
      </c>
      <c r="D4" s="728" t="s">
        <v>60</v>
      </c>
      <c r="E4" s="729" t="s">
        <v>448</v>
      </c>
      <c r="F4" s="727" t="s">
        <v>138</v>
      </c>
      <c r="G4" s="729" t="s">
        <v>444</v>
      </c>
      <c r="H4" s="727" t="s">
        <v>353</v>
      </c>
      <c r="I4" s="728" t="s">
        <v>60</v>
      </c>
      <c r="J4" s="727" t="s">
        <v>442</v>
      </c>
      <c r="K4" s="729" t="s">
        <v>449</v>
      </c>
      <c r="L4" s="725" t="s">
        <v>352</v>
      </c>
      <c r="M4" s="726"/>
      <c r="N4" s="726"/>
      <c r="O4" s="726"/>
    </row>
    <row r="5" spans="1:15" ht="28.8" x14ac:dyDescent="0.25">
      <c r="A5" s="364">
        <v>74</v>
      </c>
      <c r="B5" s="727" t="s">
        <v>283</v>
      </c>
      <c r="C5" s="730" t="s">
        <v>284</v>
      </c>
      <c r="D5" s="728" t="s">
        <v>62</v>
      </c>
      <c r="E5" s="729" t="s">
        <v>386</v>
      </c>
      <c r="F5" s="727" t="s">
        <v>138</v>
      </c>
      <c r="G5" s="729" t="s">
        <v>387</v>
      </c>
      <c r="H5" s="727" t="s">
        <v>353</v>
      </c>
      <c r="I5" s="728" t="s">
        <v>62</v>
      </c>
      <c r="J5" s="727" t="s">
        <v>382</v>
      </c>
      <c r="K5" s="729" t="s">
        <v>300</v>
      </c>
      <c r="L5" s="732"/>
      <c r="M5" s="733"/>
      <c r="N5" s="733"/>
      <c r="O5" s="733"/>
    </row>
    <row r="6" spans="1:15" ht="28.8" x14ac:dyDescent="0.25">
      <c r="A6" s="200">
        <v>22</v>
      </c>
      <c r="B6" s="727" t="s">
        <v>285</v>
      </c>
      <c r="C6" s="730" t="s">
        <v>286</v>
      </c>
      <c r="D6" s="728" t="s">
        <v>60</v>
      </c>
      <c r="E6" s="729" t="s">
        <v>356</v>
      </c>
      <c r="F6" s="727" t="s">
        <v>138</v>
      </c>
      <c r="G6" s="729" t="s">
        <v>357</v>
      </c>
      <c r="H6" s="727" t="s">
        <v>353</v>
      </c>
      <c r="I6" s="728" t="s">
        <v>60</v>
      </c>
      <c r="J6" s="727" t="s">
        <v>296</v>
      </c>
      <c r="K6" s="729" t="s">
        <v>301</v>
      </c>
      <c r="L6" s="732"/>
      <c r="M6" s="733"/>
      <c r="N6" s="733"/>
      <c r="O6" s="733"/>
    </row>
    <row r="7" spans="1:15" ht="14.4" x14ac:dyDescent="0.25">
      <c r="A7" s="364">
        <v>37</v>
      </c>
      <c r="B7" s="727" t="s">
        <v>287</v>
      </c>
      <c r="C7" s="730" t="s">
        <v>288</v>
      </c>
      <c r="D7" s="728" t="s">
        <v>60</v>
      </c>
      <c r="E7" s="729" t="s">
        <v>360</v>
      </c>
      <c r="F7" s="727" t="s">
        <v>138</v>
      </c>
      <c r="G7" s="729" t="s">
        <v>361</v>
      </c>
      <c r="H7" s="727" t="s">
        <v>353</v>
      </c>
      <c r="I7" s="728" t="s">
        <v>60</v>
      </c>
      <c r="J7" s="727" t="s">
        <v>297</v>
      </c>
      <c r="K7" s="729" t="s">
        <v>223</v>
      </c>
      <c r="L7" s="732"/>
      <c r="M7" s="733"/>
      <c r="N7" s="733"/>
      <c r="O7" s="733"/>
    </row>
    <row r="8" spans="1:15" ht="28.8" x14ac:dyDescent="0.25">
      <c r="A8" s="364">
        <v>75</v>
      </c>
      <c r="B8" s="727" t="s">
        <v>289</v>
      </c>
      <c r="C8" s="730" t="s">
        <v>290</v>
      </c>
      <c r="D8" s="728" t="s">
        <v>62</v>
      </c>
      <c r="E8" s="729" t="s">
        <v>388</v>
      </c>
      <c r="F8" s="727" t="s">
        <v>138</v>
      </c>
      <c r="G8" s="729" t="s">
        <v>389</v>
      </c>
      <c r="H8" s="727" t="s">
        <v>353</v>
      </c>
      <c r="I8" s="728" t="s">
        <v>62</v>
      </c>
      <c r="J8" s="727" t="s">
        <v>382</v>
      </c>
      <c r="K8" s="729" t="s">
        <v>390</v>
      </c>
      <c r="L8" s="732"/>
      <c r="M8" s="733"/>
      <c r="N8" s="733"/>
      <c r="O8" s="733"/>
    </row>
    <row r="9" spans="1:15" ht="43.2" x14ac:dyDescent="0.25">
      <c r="A9" s="200">
        <v>40</v>
      </c>
      <c r="B9" s="727" t="s">
        <v>375</v>
      </c>
      <c r="C9" s="730" t="s">
        <v>376</v>
      </c>
      <c r="D9" s="728" t="s">
        <v>60</v>
      </c>
      <c r="E9" s="729" t="s">
        <v>377</v>
      </c>
      <c r="F9" s="727" t="s">
        <v>138</v>
      </c>
      <c r="G9" s="729" t="s">
        <v>378</v>
      </c>
      <c r="H9" s="727" t="s">
        <v>353</v>
      </c>
      <c r="I9" s="728" t="s">
        <v>60</v>
      </c>
      <c r="J9" s="727" t="s">
        <v>316</v>
      </c>
      <c r="K9" s="729" t="s">
        <v>379</v>
      </c>
      <c r="L9" s="732"/>
      <c r="M9" s="733"/>
      <c r="N9" s="733"/>
      <c r="O9" s="733"/>
    </row>
    <row r="10" spans="1:15" ht="28.8" x14ac:dyDescent="0.25">
      <c r="A10" s="200">
        <v>79</v>
      </c>
      <c r="B10" s="727" t="s">
        <v>291</v>
      </c>
      <c r="C10" s="730" t="s">
        <v>292</v>
      </c>
      <c r="D10" s="728" t="s">
        <v>60</v>
      </c>
      <c r="E10" s="729" t="s">
        <v>394</v>
      </c>
      <c r="F10" s="727" t="s">
        <v>138</v>
      </c>
      <c r="G10" s="729" t="s">
        <v>395</v>
      </c>
      <c r="H10" s="727" t="s">
        <v>353</v>
      </c>
      <c r="I10" s="728" t="s">
        <v>60</v>
      </c>
      <c r="J10" s="727" t="s">
        <v>382</v>
      </c>
      <c r="K10" s="729" t="s">
        <v>302</v>
      </c>
      <c r="L10" s="732"/>
      <c r="M10" s="733"/>
      <c r="N10" s="733"/>
      <c r="O10" s="733"/>
    </row>
    <row r="11" spans="1:15" ht="28.8" x14ac:dyDescent="0.25">
      <c r="A11" s="735">
        <v>113</v>
      </c>
      <c r="B11" s="727" t="s">
        <v>440</v>
      </c>
      <c r="C11" s="727" t="s">
        <v>441</v>
      </c>
      <c r="D11" s="728" t="s">
        <v>60</v>
      </c>
      <c r="E11" s="729" t="s">
        <v>443</v>
      </c>
      <c r="F11" s="727" t="s">
        <v>138</v>
      </c>
      <c r="G11" s="729" t="s">
        <v>444</v>
      </c>
      <c r="H11" s="727" t="s">
        <v>353</v>
      </c>
      <c r="I11" s="728" t="s">
        <v>60</v>
      </c>
      <c r="J11" s="727" t="s">
        <v>442</v>
      </c>
      <c r="K11" s="729" t="s">
        <v>445</v>
      </c>
      <c r="L11" s="725" t="s">
        <v>352</v>
      </c>
      <c r="M11" s="726"/>
      <c r="N11" s="726"/>
      <c r="O11" s="726"/>
    </row>
    <row r="12" spans="1:15" ht="14.4" x14ac:dyDescent="0.25">
      <c r="A12" s="200">
        <v>2</v>
      </c>
      <c r="B12" s="727" t="s">
        <v>293</v>
      </c>
      <c r="C12" s="730" t="s">
        <v>294</v>
      </c>
      <c r="D12" s="728" t="s">
        <v>60</v>
      </c>
      <c r="E12" s="729" t="s">
        <v>354</v>
      </c>
      <c r="F12" s="727" t="s">
        <v>138</v>
      </c>
      <c r="G12" s="729" t="s">
        <v>355</v>
      </c>
      <c r="H12" s="727" t="s">
        <v>353</v>
      </c>
      <c r="I12" s="728" t="s">
        <v>60</v>
      </c>
      <c r="J12" s="727" t="s">
        <v>298</v>
      </c>
      <c r="K12" s="729" t="s">
        <v>303</v>
      </c>
      <c r="L12" s="725" t="s">
        <v>352</v>
      </c>
      <c r="M12" s="726"/>
      <c r="N12" s="726"/>
      <c r="O12" s="726"/>
    </row>
    <row r="13" spans="1:15" ht="28.8" x14ac:dyDescent="0.25">
      <c r="A13" s="200">
        <v>41</v>
      </c>
      <c r="B13" s="727" t="s">
        <v>362</v>
      </c>
      <c r="C13" s="730" t="s">
        <v>363</v>
      </c>
      <c r="D13" s="728" t="s">
        <v>60</v>
      </c>
      <c r="E13" s="729" t="s">
        <v>364</v>
      </c>
      <c r="F13" s="727" t="s">
        <v>138</v>
      </c>
      <c r="G13" s="729" t="s">
        <v>365</v>
      </c>
      <c r="H13" s="727" t="s">
        <v>353</v>
      </c>
      <c r="I13" s="728" t="s">
        <v>60</v>
      </c>
      <c r="J13" s="727" t="s">
        <v>316</v>
      </c>
      <c r="K13" s="729" t="s">
        <v>366</v>
      </c>
      <c r="L13" s="732"/>
      <c r="M13" s="733"/>
      <c r="N13" s="733"/>
      <c r="O13" s="733"/>
    </row>
    <row r="14" spans="1:15" ht="28.8" x14ac:dyDescent="0.25">
      <c r="A14" s="735">
        <v>115</v>
      </c>
      <c r="B14" s="727" t="s">
        <v>450</v>
      </c>
      <c r="C14" s="727" t="s">
        <v>451</v>
      </c>
      <c r="D14" s="728" t="s">
        <v>61</v>
      </c>
      <c r="E14" s="729" t="s">
        <v>448</v>
      </c>
      <c r="F14" s="727" t="s">
        <v>138</v>
      </c>
      <c r="G14" s="729" t="s">
        <v>444</v>
      </c>
      <c r="H14" s="727" t="s">
        <v>353</v>
      </c>
      <c r="I14" s="728" t="s">
        <v>61</v>
      </c>
      <c r="J14" s="727" t="s">
        <v>442</v>
      </c>
      <c r="K14" s="729" t="s">
        <v>452</v>
      </c>
      <c r="L14" s="725" t="s">
        <v>352</v>
      </c>
      <c r="M14" s="726"/>
      <c r="N14" s="726"/>
      <c r="O14" s="726"/>
    </row>
    <row r="15" spans="1:15" ht="28.8" x14ac:dyDescent="0.25">
      <c r="A15" s="364">
        <v>83</v>
      </c>
      <c r="B15" s="727" t="s">
        <v>405</v>
      </c>
      <c r="C15" s="730" t="s">
        <v>406</v>
      </c>
      <c r="D15" s="728" t="s">
        <v>61</v>
      </c>
      <c r="E15" s="729" t="s">
        <v>399</v>
      </c>
      <c r="F15" s="727" t="s">
        <v>138</v>
      </c>
      <c r="G15" s="729" t="s">
        <v>400</v>
      </c>
      <c r="H15" s="727" t="s">
        <v>353</v>
      </c>
      <c r="I15" s="728" t="s">
        <v>61</v>
      </c>
      <c r="J15" s="727" t="s">
        <v>398</v>
      </c>
      <c r="K15" s="729" t="s">
        <v>407</v>
      </c>
      <c r="L15" s="732"/>
      <c r="M15" s="733"/>
      <c r="N15" s="733"/>
      <c r="O15" s="733"/>
    </row>
    <row r="16" spans="1:15" ht="28.8" x14ac:dyDescent="0.25">
      <c r="A16" s="364">
        <v>81</v>
      </c>
      <c r="B16" s="727" t="s">
        <v>408</v>
      </c>
      <c r="C16" s="730" t="s">
        <v>409</v>
      </c>
      <c r="D16" s="728" t="s">
        <v>61</v>
      </c>
      <c r="E16" s="729" t="s">
        <v>399</v>
      </c>
      <c r="F16" s="727" t="s">
        <v>138</v>
      </c>
      <c r="G16" s="729" t="s">
        <v>410</v>
      </c>
      <c r="H16" s="727" t="s">
        <v>353</v>
      </c>
      <c r="I16" s="728" t="s">
        <v>61</v>
      </c>
      <c r="J16" s="727" t="s">
        <v>398</v>
      </c>
      <c r="K16" s="729" t="s">
        <v>401</v>
      </c>
      <c r="L16" s="732"/>
      <c r="M16" s="733"/>
      <c r="N16" s="733"/>
      <c r="O16" s="733"/>
    </row>
    <row r="17" spans="1:15" ht="14.4" x14ac:dyDescent="0.25">
      <c r="A17" s="206">
        <v>107</v>
      </c>
      <c r="B17" s="727" t="s">
        <v>457</v>
      </c>
      <c r="C17" s="727" t="s">
        <v>458</v>
      </c>
      <c r="D17" s="728" t="s">
        <v>61</v>
      </c>
      <c r="E17" s="729" t="s">
        <v>460</v>
      </c>
      <c r="F17" s="727" t="s">
        <v>138</v>
      </c>
      <c r="G17" s="729" t="s">
        <v>461</v>
      </c>
      <c r="H17" s="727" t="s">
        <v>353</v>
      </c>
      <c r="I17" s="728" t="s">
        <v>61</v>
      </c>
      <c r="J17" s="727" t="s">
        <v>459</v>
      </c>
      <c r="K17" s="729" t="s">
        <v>462</v>
      </c>
      <c r="L17" s="732"/>
      <c r="M17" s="733"/>
      <c r="N17" s="733"/>
      <c r="O17" s="733"/>
    </row>
    <row r="18" spans="1:15" ht="14.4" x14ac:dyDescent="0.25">
      <c r="A18" s="220">
        <v>99</v>
      </c>
      <c r="B18" s="727" t="s">
        <v>421</v>
      </c>
      <c r="C18" s="727" t="s">
        <v>422</v>
      </c>
      <c r="D18" s="728" t="s">
        <v>61</v>
      </c>
      <c r="E18" s="729" t="s">
        <v>424</v>
      </c>
      <c r="F18" s="727" t="s">
        <v>138</v>
      </c>
      <c r="G18" s="729" t="s">
        <v>425</v>
      </c>
      <c r="H18" s="727" t="s">
        <v>353</v>
      </c>
      <c r="I18" s="728" t="s">
        <v>61</v>
      </c>
      <c r="J18" s="727" t="s">
        <v>423</v>
      </c>
      <c r="K18" s="729" t="s">
        <v>426</v>
      </c>
      <c r="L18" s="732"/>
      <c r="M18" s="733"/>
      <c r="N18" s="733"/>
      <c r="O18" s="733"/>
    </row>
    <row r="19" spans="1:15" ht="28.8" x14ac:dyDescent="0.25">
      <c r="A19" s="200">
        <v>88</v>
      </c>
      <c r="B19" s="727" t="s">
        <v>411</v>
      </c>
      <c r="C19" s="730" t="s">
        <v>412</v>
      </c>
      <c r="D19" s="728" t="s">
        <v>61</v>
      </c>
      <c r="E19" s="729" t="s">
        <v>399</v>
      </c>
      <c r="F19" s="727" t="s">
        <v>138</v>
      </c>
      <c r="G19" s="729" t="s">
        <v>400</v>
      </c>
      <c r="H19" s="727" t="s">
        <v>353</v>
      </c>
      <c r="I19" s="728" t="s">
        <v>61</v>
      </c>
      <c r="J19" s="727" t="s">
        <v>398</v>
      </c>
      <c r="K19" s="729" t="s">
        <v>413</v>
      </c>
      <c r="L19" s="732"/>
      <c r="M19" s="733"/>
      <c r="N19" s="733"/>
      <c r="O19" s="733"/>
    </row>
    <row r="20" spans="1:15" ht="28.8" x14ac:dyDescent="0.25">
      <c r="A20" s="220">
        <v>101</v>
      </c>
      <c r="B20" s="727" t="s">
        <v>427</v>
      </c>
      <c r="C20" s="727" t="s">
        <v>428</v>
      </c>
      <c r="D20" s="728" t="s">
        <v>61</v>
      </c>
      <c r="E20" s="729" t="s">
        <v>424</v>
      </c>
      <c r="F20" s="727" t="s">
        <v>138</v>
      </c>
      <c r="G20" s="729" t="s">
        <v>429</v>
      </c>
      <c r="H20" s="727" t="s">
        <v>353</v>
      </c>
      <c r="I20" s="728" t="s">
        <v>61</v>
      </c>
      <c r="J20" s="727" t="s">
        <v>423</v>
      </c>
      <c r="K20" s="729" t="s">
        <v>430</v>
      </c>
      <c r="L20" s="732"/>
      <c r="M20" s="733"/>
      <c r="N20" s="733"/>
      <c r="O20" s="733"/>
    </row>
    <row r="21" spans="1:15" ht="14.4" x14ac:dyDescent="0.25">
      <c r="A21" s="334">
        <v>21</v>
      </c>
      <c r="B21" s="738" t="s">
        <v>314</v>
      </c>
      <c r="C21" s="740">
        <v>36317</v>
      </c>
      <c r="D21" s="742">
        <v>1</v>
      </c>
      <c r="E21" s="738" t="s">
        <v>356</v>
      </c>
      <c r="F21" s="744" t="s">
        <v>138</v>
      </c>
      <c r="G21" s="738" t="s">
        <v>420</v>
      </c>
      <c r="H21" s="745"/>
      <c r="I21" s="745"/>
      <c r="J21" s="745"/>
      <c r="K21" s="738" t="s">
        <v>321</v>
      </c>
      <c r="L21" s="732"/>
      <c r="M21" s="733"/>
      <c r="N21" s="733"/>
      <c r="O21" s="733"/>
    </row>
    <row r="22" spans="1:15" ht="28.8" x14ac:dyDescent="0.25">
      <c r="A22" s="200">
        <v>39</v>
      </c>
      <c r="B22" s="727" t="s">
        <v>367</v>
      </c>
      <c r="C22" s="730" t="s">
        <v>368</v>
      </c>
      <c r="D22" s="728" t="s">
        <v>60</v>
      </c>
      <c r="E22" s="729" t="s">
        <v>364</v>
      </c>
      <c r="F22" s="727" t="s">
        <v>138</v>
      </c>
      <c r="G22" s="729" t="s">
        <v>369</v>
      </c>
      <c r="H22" s="727" t="s">
        <v>353</v>
      </c>
      <c r="I22" s="728" t="s">
        <v>60</v>
      </c>
      <c r="J22" s="727" t="s">
        <v>316</v>
      </c>
      <c r="K22" s="729" t="s">
        <v>370</v>
      </c>
      <c r="L22" s="732"/>
      <c r="M22" s="733"/>
      <c r="N22" s="733"/>
      <c r="O22" s="733"/>
    </row>
    <row r="23" spans="1:15" ht="28.8" x14ac:dyDescent="0.25">
      <c r="A23" s="364">
        <v>43</v>
      </c>
      <c r="B23" s="727" t="s">
        <v>371</v>
      </c>
      <c r="C23" s="730" t="s">
        <v>372</v>
      </c>
      <c r="D23" s="728" t="s">
        <v>61</v>
      </c>
      <c r="E23" s="729" t="s">
        <v>364</v>
      </c>
      <c r="F23" s="727" t="s">
        <v>138</v>
      </c>
      <c r="G23" s="729" t="s">
        <v>369</v>
      </c>
      <c r="H23" s="727" t="s">
        <v>353</v>
      </c>
      <c r="I23" s="728" t="s">
        <v>61</v>
      </c>
      <c r="J23" s="727" t="s">
        <v>316</v>
      </c>
      <c r="K23" s="729" t="s">
        <v>373</v>
      </c>
      <c r="L23" s="732"/>
      <c r="M23" s="733"/>
      <c r="N23" s="733"/>
      <c r="O23" s="733"/>
    </row>
    <row r="24" spans="1:15" ht="43.2" x14ac:dyDescent="0.25">
      <c r="A24" s="231">
        <v>98</v>
      </c>
      <c r="B24" s="727" t="s">
        <v>431</v>
      </c>
      <c r="C24" s="727" t="s">
        <v>432</v>
      </c>
      <c r="D24" s="728" t="s">
        <v>61</v>
      </c>
      <c r="E24" s="729" t="s">
        <v>424</v>
      </c>
      <c r="F24" s="727" t="s">
        <v>138</v>
      </c>
      <c r="G24" s="729" t="s">
        <v>433</v>
      </c>
      <c r="H24" s="727" t="s">
        <v>353</v>
      </c>
      <c r="I24" s="728" t="s">
        <v>61</v>
      </c>
      <c r="J24" s="727" t="s">
        <v>423</v>
      </c>
      <c r="K24" s="729" t="s">
        <v>434</v>
      </c>
      <c r="L24" s="732"/>
      <c r="M24" s="733"/>
      <c r="N24" s="733"/>
      <c r="O24" s="733"/>
    </row>
    <row r="25" spans="1:15" ht="28.8" x14ac:dyDescent="0.25">
      <c r="A25" s="736">
        <v>45</v>
      </c>
      <c r="B25" s="727" t="s">
        <v>310</v>
      </c>
      <c r="C25" s="730" t="s">
        <v>311</v>
      </c>
      <c r="D25" s="728" t="s">
        <v>61</v>
      </c>
      <c r="E25" s="729" t="s">
        <v>364</v>
      </c>
      <c r="F25" s="727" t="s">
        <v>138</v>
      </c>
      <c r="G25" s="729" t="s">
        <v>374</v>
      </c>
      <c r="H25" s="727" t="s">
        <v>353</v>
      </c>
      <c r="I25" s="728" t="s">
        <v>61</v>
      </c>
      <c r="J25" s="727" t="s">
        <v>316</v>
      </c>
      <c r="K25" s="729" t="s">
        <v>319</v>
      </c>
      <c r="L25" s="732"/>
      <c r="M25" s="733"/>
      <c r="N25" s="733"/>
      <c r="O25" s="733"/>
    </row>
    <row r="26" spans="1:15" ht="28.8" x14ac:dyDescent="0.25">
      <c r="A26" s="735">
        <v>116</v>
      </c>
      <c r="B26" s="727" t="s">
        <v>453</v>
      </c>
      <c r="C26" s="727" t="s">
        <v>454</v>
      </c>
      <c r="D26" s="728" t="s">
        <v>60</v>
      </c>
      <c r="E26" s="729" t="s">
        <v>448</v>
      </c>
      <c r="F26" s="727" t="s">
        <v>138</v>
      </c>
      <c r="G26" s="729" t="s">
        <v>444</v>
      </c>
      <c r="H26" s="727" t="s">
        <v>353</v>
      </c>
      <c r="I26" s="728" t="s">
        <v>60</v>
      </c>
      <c r="J26" s="727" t="s">
        <v>442</v>
      </c>
      <c r="K26" s="729" t="s">
        <v>456</v>
      </c>
      <c r="L26" s="754" t="s">
        <v>455</v>
      </c>
      <c r="M26" s="733"/>
      <c r="N26" s="733"/>
      <c r="O26" s="733"/>
    </row>
    <row r="27" spans="1:15" ht="28.8" x14ac:dyDescent="0.25">
      <c r="A27" s="231">
        <v>76</v>
      </c>
      <c r="B27" s="727" t="s">
        <v>414</v>
      </c>
      <c r="C27" s="730" t="s">
        <v>415</v>
      </c>
      <c r="D27" s="728" t="s">
        <v>61</v>
      </c>
      <c r="E27" s="729" t="s">
        <v>417</v>
      </c>
      <c r="F27" s="727" t="s">
        <v>138</v>
      </c>
      <c r="G27" s="729" t="s">
        <v>418</v>
      </c>
      <c r="H27" s="727" t="s">
        <v>353</v>
      </c>
      <c r="I27" s="728" t="s">
        <v>61</v>
      </c>
      <c r="J27" s="727" t="s">
        <v>416</v>
      </c>
      <c r="K27" s="729" t="s">
        <v>419</v>
      </c>
      <c r="L27" s="754"/>
      <c r="M27" s="733"/>
      <c r="N27" s="733"/>
      <c r="O27" s="733"/>
    </row>
    <row r="28" spans="1:15" ht="28.8" x14ac:dyDescent="0.25">
      <c r="A28" s="231">
        <v>89</v>
      </c>
      <c r="B28" s="727" t="s">
        <v>402</v>
      </c>
      <c r="C28" s="730" t="s">
        <v>403</v>
      </c>
      <c r="D28" s="728" t="s">
        <v>317</v>
      </c>
      <c r="E28" s="729" t="s">
        <v>399</v>
      </c>
      <c r="F28" s="727" t="s">
        <v>138</v>
      </c>
      <c r="G28" s="729" t="s">
        <v>400</v>
      </c>
      <c r="H28" s="727" t="s">
        <v>353</v>
      </c>
      <c r="I28" s="728" t="s">
        <v>317</v>
      </c>
      <c r="J28" s="727" t="s">
        <v>398</v>
      </c>
      <c r="K28" s="729" t="s">
        <v>404</v>
      </c>
      <c r="L28" s="754"/>
      <c r="M28" s="733"/>
      <c r="N28" s="733"/>
      <c r="O28" s="733"/>
    </row>
    <row r="29" spans="1:15" ht="28.8" x14ac:dyDescent="0.25">
      <c r="A29" s="230">
        <v>78</v>
      </c>
      <c r="B29" s="727" t="s">
        <v>304</v>
      </c>
      <c r="C29" s="730" t="s">
        <v>305</v>
      </c>
      <c r="D29" s="728" t="s">
        <v>61</v>
      </c>
      <c r="E29" s="729" t="s">
        <v>391</v>
      </c>
      <c r="F29" s="727" t="s">
        <v>138</v>
      </c>
      <c r="G29" s="729" t="s">
        <v>393</v>
      </c>
      <c r="H29" s="727" t="s">
        <v>353</v>
      </c>
      <c r="I29" s="728" t="s">
        <v>61</v>
      </c>
      <c r="J29" s="727" t="s">
        <v>315</v>
      </c>
      <c r="K29" s="729" t="s">
        <v>302</v>
      </c>
      <c r="L29" s="732"/>
      <c r="M29" s="733"/>
      <c r="N29" s="733"/>
      <c r="O29" s="733"/>
    </row>
    <row r="30" spans="1:15" ht="28.8" x14ac:dyDescent="0.25">
      <c r="A30" s="200">
        <v>44</v>
      </c>
      <c r="B30" s="727" t="s">
        <v>306</v>
      </c>
      <c r="C30" s="730" t="s">
        <v>307</v>
      </c>
      <c r="D30" s="728" t="s">
        <v>61</v>
      </c>
      <c r="E30" s="729" t="s">
        <v>364</v>
      </c>
      <c r="F30" s="727" t="s">
        <v>138</v>
      </c>
      <c r="G30" s="729" t="s">
        <v>374</v>
      </c>
      <c r="H30" s="727" t="s">
        <v>353</v>
      </c>
      <c r="I30" s="728" t="s">
        <v>61</v>
      </c>
      <c r="J30" s="727" t="s">
        <v>316</v>
      </c>
      <c r="K30" s="729" t="s">
        <v>318</v>
      </c>
      <c r="L30" s="732"/>
      <c r="M30" s="733"/>
      <c r="N30" s="733"/>
      <c r="O30" s="733"/>
    </row>
    <row r="31" spans="1:15" ht="14.4" x14ac:dyDescent="0.25">
      <c r="A31" s="736">
        <v>1</v>
      </c>
      <c r="B31" s="727" t="s">
        <v>312</v>
      </c>
      <c r="C31" s="730" t="s">
        <v>313</v>
      </c>
      <c r="D31" s="728" t="s">
        <v>61</v>
      </c>
      <c r="E31" s="729" t="s">
        <v>354</v>
      </c>
      <c r="F31" s="727" t="s">
        <v>138</v>
      </c>
      <c r="G31" s="729" t="s">
        <v>355</v>
      </c>
      <c r="H31" s="727" t="s">
        <v>353</v>
      </c>
      <c r="I31" s="728" t="s">
        <v>61</v>
      </c>
      <c r="J31" s="727" t="s">
        <v>298</v>
      </c>
      <c r="K31" s="729" t="s">
        <v>320</v>
      </c>
      <c r="L31" s="758"/>
      <c r="M31" s="759"/>
      <c r="N31" s="759"/>
      <c r="O31" s="759"/>
    </row>
    <row r="32" spans="1:15" ht="28.8" x14ac:dyDescent="0.25">
      <c r="A32" s="364">
        <v>77</v>
      </c>
      <c r="B32" s="737" t="s">
        <v>308</v>
      </c>
      <c r="C32" s="739" t="s">
        <v>309</v>
      </c>
      <c r="D32" s="741" t="s">
        <v>61</v>
      </c>
      <c r="E32" s="743" t="s">
        <v>391</v>
      </c>
      <c r="F32" s="737" t="s">
        <v>138</v>
      </c>
      <c r="G32" s="743" t="s">
        <v>392</v>
      </c>
      <c r="H32" s="737" t="s">
        <v>353</v>
      </c>
      <c r="I32" s="741" t="s">
        <v>61</v>
      </c>
      <c r="J32" s="737" t="s">
        <v>315</v>
      </c>
      <c r="K32" s="743" t="s">
        <v>302</v>
      </c>
      <c r="L32" s="746"/>
      <c r="M32" s="748"/>
      <c r="N32" s="748"/>
      <c r="O32" s="748"/>
    </row>
    <row r="33" spans="1:15" ht="28.8" x14ac:dyDescent="0.25">
      <c r="A33" s="200">
        <v>86</v>
      </c>
      <c r="B33" s="727" t="s">
        <v>396</v>
      </c>
      <c r="C33" s="730" t="s">
        <v>397</v>
      </c>
      <c r="D33" s="728" t="s">
        <v>61</v>
      </c>
      <c r="E33" s="729" t="s">
        <v>399</v>
      </c>
      <c r="F33" s="727" t="s">
        <v>138</v>
      </c>
      <c r="G33" s="729" t="s">
        <v>400</v>
      </c>
      <c r="H33" s="727" t="s">
        <v>353</v>
      </c>
      <c r="I33" s="728" t="s">
        <v>61</v>
      </c>
      <c r="J33" s="727" t="s">
        <v>398</v>
      </c>
      <c r="K33" s="729" t="s">
        <v>401</v>
      </c>
      <c r="L33" s="732"/>
      <c r="M33" s="733"/>
      <c r="N33" s="733"/>
      <c r="O33" s="733"/>
    </row>
    <row r="34" spans="1:15" ht="14.4" x14ac:dyDescent="0.25">
      <c r="A34" s="200">
        <v>71</v>
      </c>
      <c r="B34" s="727" t="s">
        <v>380</v>
      </c>
      <c r="C34" s="730" t="s">
        <v>381</v>
      </c>
      <c r="D34" s="728" t="s">
        <v>61</v>
      </c>
      <c r="E34" s="729" t="s">
        <v>383</v>
      </c>
      <c r="F34" s="727" t="s">
        <v>138</v>
      </c>
      <c r="G34" s="729" t="s">
        <v>384</v>
      </c>
      <c r="H34" s="727" t="s">
        <v>353</v>
      </c>
      <c r="I34" s="728" t="s">
        <v>61</v>
      </c>
      <c r="J34" s="727" t="s">
        <v>382</v>
      </c>
      <c r="K34" s="729" t="s">
        <v>385</v>
      </c>
      <c r="L34" s="732"/>
      <c r="M34" s="733"/>
      <c r="N34" s="733"/>
      <c r="O34" s="733"/>
    </row>
    <row r="35" spans="1:15" ht="28.8" x14ac:dyDescent="0.25">
      <c r="A35" s="736">
        <v>45</v>
      </c>
      <c r="B35" s="727" t="s">
        <v>310</v>
      </c>
      <c r="C35" s="730" t="s">
        <v>311</v>
      </c>
      <c r="D35" s="728" t="s">
        <v>61</v>
      </c>
      <c r="E35" s="729" t="s">
        <v>364</v>
      </c>
      <c r="F35" s="727" t="s">
        <v>138</v>
      </c>
      <c r="G35" s="729" t="s">
        <v>374</v>
      </c>
      <c r="H35" s="727" t="s">
        <v>353</v>
      </c>
      <c r="I35" s="728" t="s">
        <v>61</v>
      </c>
      <c r="J35" s="727" t="s">
        <v>316</v>
      </c>
      <c r="K35" s="729" t="s">
        <v>319</v>
      </c>
      <c r="L35" s="732"/>
      <c r="M35" s="733"/>
      <c r="N35" s="733"/>
      <c r="O35" s="733"/>
    </row>
    <row r="36" spans="1:15" ht="28.8" x14ac:dyDescent="0.25">
      <c r="A36" s="231">
        <v>89</v>
      </c>
      <c r="B36" s="727" t="s">
        <v>402</v>
      </c>
      <c r="C36" s="730" t="s">
        <v>403</v>
      </c>
      <c r="D36" s="728" t="s">
        <v>317</v>
      </c>
      <c r="E36" s="729" t="s">
        <v>399</v>
      </c>
      <c r="F36" s="727" t="s">
        <v>138</v>
      </c>
      <c r="G36" s="729" t="s">
        <v>400</v>
      </c>
      <c r="H36" s="727" t="s">
        <v>353</v>
      </c>
      <c r="I36" s="728" t="s">
        <v>317</v>
      </c>
      <c r="J36" s="727" t="s">
        <v>398</v>
      </c>
      <c r="K36" s="729" t="s">
        <v>404</v>
      </c>
      <c r="L36" s="732"/>
      <c r="M36" s="733"/>
      <c r="N36" s="733"/>
      <c r="O36" s="733"/>
    </row>
    <row r="37" spans="1:15" ht="14.4" x14ac:dyDescent="0.25">
      <c r="A37" s="736">
        <v>1</v>
      </c>
      <c r="B37" s="727" t="s">
        <v>312</v>
      </c>
      <c r="C37" s="730" t="s">
        <v>313</v>
      </c>
      <c r="D37" s="728" t="s">
        <v>61</v>
      </c>
      <c r="E37" s="729" t="s">
        <v>354</v>
      </c>
      <c r="F37" s="727" t="s">
        <v>138</v>
      </c>
      <c r="G37" s="729" t="s">
        <v>355</v>
      </c>
      <c r="H37" s="727" t="s">
        <v>353</v>
      </c>
      <c r="I37" s="728" t="s">
        <v>61</v>
      </c>
      <c r="J37" s="727" t="s">
        <v>298</v>
      </c>
      <c r="K37" s="729" t="s">
        <v>320</v>
      </c>
      <c r="L37" s="732"/>
      <c r="M37" s="733"/>
      <c r="N37" s="733"/>
      <c r="O37" s="733"/>
    </row>
    <row r="38" spans="1:15" x14ac:dyDescent="0.25">
      <c r="A38" s="334">
        <v>21</v>
      </c>
      <c r="B38" s="738" t="s">
        <v>314</v>
      </c>
      <c r="C38" s="740">
        <v>36317</v>
      </c>
      <c r="D38" s="742">
        <v>1</v>
      </c>
      <c r="E38" s="738" t="s">
        <v>356</v>
      </c>
      <c r="F38" s="744" t="s">
        <v>138</v>
      </c>
      <c r="G38" s="738" t="s">
        <v>420</v>
      </c>
      <c r="H38" s="745"/>
      <c r="I38" s="745"/>
      <c r="J38" s="745"/>
      <c r="K38" s="738" t="s">
        <v>321</v>
      </c>
      <c r="L38" s="747"/>
      <c r="M38" s="749"/>
      <c r="N38" s="749"/>
      <c r="O38" s="749"/>
    </row>
    <row r="39" spans="1:15" ht="43.2" x14ac:dyDescent="0.25">
      <c r="A39" s="231">
        <v>98</v>
      </c>
      <c r="B39" s="727" t="s">
        <v>431</v>
      </c>
      <c r="C39" s="727" t="s">
        <v>432</v>
      </c>
      <c r="D39" s="728" t="s">
        <v>61</v>
      </c>
      <c r="E39" s="729" t="s">
        <v>424</v>
      </c>
      <c r="F39" s="727" t="s">
        <v>138</v>
      </c>
      <c r="G39" s="729" t="s">
        <v>433</v>
      </c>
      <c r="H39" s="727" t="s">
        <v>353</v>
      </c>
      <c r="I39" s="728" t="s">
        <v>61</v>
      </c>
      <c r="J39" s="727" t="s">
        <v>423</v>
      </c>
      <c r="K39" s="729" t="s">
        <v>434</v>
      </c>
      <c r="L39" s="747"/>
      <c r="M39" s="749"/>
      <c r="N39" s="749"/>
      <c r="O39" s="749"/>
    </row>
    <row r="40" spans="1:15" ht="28.8" x14ac:dyDescent="0.25">
      <c r="A40" s="231">
        <v>76</v>
      </c>
      <c r="B40" s="727" t="s">
        <v>414</v>
      </c>
      <c r="C40" s="730" t="s">
        <v>415</v>
      </c>
      <c r="D40" s="728" t="s">
        <v>61</v>
      </c>
      <c r="E40" s="729" t="s">
        <v>417</v>
      </c>
      <c r="F40" s="727" t="s">
        <v>138</v>
      </c>
      <c r="G40" s="729" t="s">
        <v>418</v>
      </c>
      <c r="H40" s="727" t="s">
        <v>353</v>
      </c>
      <c r="I40" s="728" t="s">
        <v>61</v>
      </c>
      <c r="J40" s="727" t="s">
        <v>416</v>
      </c>
      <c r="K40" s="729" t="s">
        <v>419</v>
      </c>
      <c r="L40" s="747"/>
      <c r="M40" s="749"/>
      <c r="N40" s="749"/>
      <c r="O40" s="749"/>
    </row>
    <row r="41" spans="1:15" ht="14.4" x14ac:dyDescent="0.25">
      <c r="A41" s="206">
        <v>107</v>
      </c>
      <c r="B41" s="727" t="s">
        <v>457</v>
      </c>
      <c r="C41" s="727" t="s">
        <v>458</v>
      </c>
      <c r="D41" s="728" t="s">
        <v>61</v>
      </c>
      <c r="E41" s="729" t="s">
        <v>460</v>
      </c>
      <c r="F41" s="727" t="s">
        <v>138</v>
      </c>
      <c r="G41" s="729" t="s">
        <v>461</v>
      </c>
      <c r="H41" s="727" t="s">
        <v>353</v>
      </c>
      <c r="I41" s="728" t="s">
        <v>61</v>
      </c>
      <c r="J41" s="727" t="s">
        <v>459</v>
      </c>
      <c r="K41" s="729" t="s">
        <v>462</v>
      </c>
      <c r="L41" s="725" t="s">
        <v>352</v>
      </c>
      <c r="M41" s="726"/>
      <c r="N41" s="726"/>
      <c r="O41" s="726"/>
    </row>
    <row r="42" spans="1:15" ht="43.2" x14ac:dyDescent="0.25">
      <c r="A42" s="231">
        <v>98</v>
      </c>
      <c r="B42" s="727" t="s">
        <v>431</v>
      </c>
      <c r="C42" s="727" t="s">
        <v>432</v>
      </c>
      <c r="D42" s="728" t="s">
        <v>61</v>
      </c>
      <c r="E42" s="729" t="s">
        <v>424</v>
      </c>
      <c r="F42" s="727" t="s">
        <v>138</v>
      </c>
      <c r="G42" s="729" t="s">
        <v>433</v>
      </c>
      <c r="H42" s="727" t="s">
        <v>353</v>
      </c>
      <c r="I42" s="728" t="s">
        <v>61</v>
      </c>
      <c r="J42" s="727" t="s">
        <v>423</v>
      </c>
      <c r="K42" s="729" t="s">
        <v>434</v>
      </c>
      <c r="L42" s="732"/>
      <c r="M42" s="733"/>
      <c r="N42" s="733"/>
      <c r="O42" s="733"/>
    </row>
    <row r="43" spans="1:15" ht="28.8" x14ac:dyDescent="0.25">
      <c r="A43" s="231">
        <v>76</v>
      </c>
      <c r="B43" s="727" t="s">
        <v>414</v>
      </c>
      <c r="C43" s="730" t="s">
        <v>415</v>
      </c>
      <c r="D43" s="728" t="s">
        <v>61</v>
      </c>
      <c r="E43" s="729" t="s">
        <v>417</v>
      </c>
      <c r="F43" s="727" t="s">
        <v>138</v>
      </c>
      <c r="G43" s="729" t="s">
        <v>418</v>
      </c>
      <c r="H43" s="727" t="s">
        <v>353</v>
      </c>
      <c r="I43" s="728" t="s">
        <v>61</v>
      </c>
      <c r="J43" s="727" t="s">
        <v>416</v>
      </c>
      <c r="K43" s="729" t="s">
        <v>419</v>
      </c>
      <c r="L43" s="732"/>
      <c r="M43" s="733"/>
      <c r="N43" s="733"/>
      <c r="O43" s="733"/>
    </row>
  </sheetData>
  <autoFilter ref="A1:L34"/>
  <sortState ref="A2:O34">
    <sortCondition ref="C2:C34"/>
  </sortState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X163"/>
  <sheetViews>
    <sheetView view="pageBreakPreview" topLeftCell="D1" zoomScale="80" zoomScaleNormal="85" zoomScaleSheetLayoutView="80" workbookViewId="0">
      <selection activeCell="M25" sqref="M25"/>
    </sheetView>
  </sheetViews>
  <sheetFormatPr defaultColWidth="9.109375" defaultRowHeight="13.2" outlineLevelCol="1" x14ac:dyDescent="0.25"/>
  <cols>
    <col min="1" max="1" width="4.88671875" style="41" customWidth="1"/>
    <col min="2" max="2" width="8" style="418" customWidth="1"/>
    <col min="3" max="3" width="21.77734375" style="41" customWidth="1"/>
    <col min="4" max="4" width="9.77734375" style="250" customWidth="1"/>
    <col min="5" max="5" width="7.21875" style="41" customWidth="1"/>
    <col min="6" max="6" width="5.77734375" style="41" customWidth="1"/>
    <col min="7" max="7" width="6.109375" style="418" customWidth="1"/>
    <col min="8" max="8" width="6.21875" style="418" customWidth="1"/>
    <col min="9" max="9" width="6.21875" style="41" customWidth="1"/>
    <col min="10" max="10" width="5.77734375" style="41" customWidth="1"/>
    <col min="11" max="11" width="7.5546875" style="418" customWidth="1" outlineLevel="1"/>
    <col min="12" max="12" width="6.109375" style="418" customWidth="1" outlineLevel="1"/>
    <col min="13" max="13" width="6.6640625" style="418" customWidth="1" outlineLevel="1"/>
    <col min="14" max="14" width="6" style="418" customWidth="1" outlineLevel="1"/>
    <col min="15" max="15" width="6.33203125" style="418" customWidth="1" outlineLevel="1"/>
    <col min="16" max="16" width="5.6640625" style="149" customWidth="1"/>
    <col min="17" max="17" width="5.21875" style="149" customWidth="1"/>
    <col min="18" max="18" width="8.33203125" style="149" customWidth="1"/>
    <col min="19" max="19" width="5.109375" style="149" bestFit="1" customWidth="1"/>
    <col min="20" max="20" width="4.109375" style="149" customWidth="1"/>
    <col min="21" max="21" width="2" style="149" bestFit="1" customWidth="1"/>
    <col min="22" max="22" width="3.88671875" style="149" bestFit="1" customWidth="1"/>
    <col min="23" max="23" width="8" style="41" customWidth="1" outlineLevel="1"/>
    <col min="24" max="24" width="8.44140625" style="41" customWidth="1" outlineLevel="1"/>
    <col min="25" max="25" width="5.6640625" style="41" customWidth="1" outlineLevel="1"/>
    <col min="26" max="26" width="8" style="41" customWidth="1" outlineLevel="1"/>
    <col min="27" max="27" width="5.6640625" style="41" customWidth="1" outlineLevel="1"/>
    <col min="28" max="28" width="6" style="41" customWidth="1" outlineLevel="1"/>
    <col min="29" max="29" width="5" style="41" customWidth="1" outlineLevel="1"/>
    <col min="30" max="30" width="6" style="41" customWidth="1" outlineLevel="1"/>
    <col min="31" max="31" width="6.88671875" style="41" customWidth="1" outlineLevel="1"/>
    <col min="32" max="32" width="5.109375" style="41" customWidth="1" outlineLevel="1"/>
    <col min="33" max="33" width="5.109375" style="41" bestFit="1" customWidth="1"/>
    <col min="34" max="34" width="10.33203125" style="418" bestFit="1" customWidth="1"/>
    <col min="35" max="35" width="6.5546875" style="418" bestFit="1" customWidth="1"/>
    <col min="36" max="36" width="4.6640625" style="41" bestFit="1" customWidth="1"/>
    <col min="37" max="37" width="4.88671875" style="418" bestFit="1" customWidth="1"/>
    <col min="38" max="38" width="5.109375" style="41" bestFit="1" customWidth="1"/>
    <col min="39" max="41" width="3.109375" style="41" bestFit="1" customWidth="1"/>
    <col min="42" max="16384" width="9.109375" style="41"/>
  </cols>
  <sheetData>
    <row r="1" spans="1:50" ht="13.2" customHeight="1" x14ac:dyDescent="0.25">
      <c r="A1" s="803" t="str">
        <f>Расп!$A$21</f>
        <v>МИНИСТЕРСТВО СПОРТА РОССИЙСКОЙ ФЕДЕРАЦИИ</v>
      </c>
      <c r="B1" s="803"/>
      <c r="C1" s="803"/>
      <c r="D1" s="803"/>
      <c r="E1" s="803"/>
      <c r="F1" s="803"/>
      <c r="G1" s="803"/>
      <c r="H1" s="803"/>
      <c r="I1" s="803"/>
      <c r="J1" s="803"/>
      <c r="K1" s="803"/>
      <c r="L1" s="803"/>
      <c r="M1" s="803"/>
      <c r="N1" s="803"/>
      <c r="O1" s="803"/>
      <c r="P1" s="803"/>
      <c r="Q1" s="803"/>
      <c r="R1" s="803"/>
      <c r="W1" s="145"/>
      <c r="X1" s="250" t="s">
        <v>29</v>
      </c>
      <c r="Y1" s="419">
        <v>0</v>
      </c>
      <c r="Z1" s="419"/>
      <c r="AA1" s="419"/>
      <c r="AB1" s="419"/>
      <c r="AC1" s="320">
        <v>3800</v>
      </c>
      <c r="AD1" s="320">
        <v>4600</v>
      </c>
      <c r="AE1" s="420">
        <v>5400</v>
      </c>
      <c r="AF1" s="420">
        <v>6200</v>
      </c>
      <c r="AG1" s="320">
        <v>7100</v>
      </c>
      <c r="AH1" s="320">
        <v>8150</v>
      </c>
      <c r="AI1" s="206"/>
      <c r="AJ1" s="421" t="s">
        <v>129</v>
      </c>
      <c r="AK1" s="422" t="s">
        <v>136</v>
      </c>
      <c r="AL1" s="421">
        <v>5500</v>
      </c>
      <c r="AM1" s="206"/>
      <c r="AN1" s="206"/>
    </row>
    <row r="2" spans="1:50" ht="13.2" customHeight="1" x14ac:dyDescent="0.25">
      <c r="A2" s="803" t="str">
        <f>Расп!$A$22</f>
        <v>ВСЕРОССИЙСКАЯ ФЕДЕРАЦИЯ ЛЕГКОЙ АТЛЕТИКИ</v>
      </c>
      <c r="B2" s="803"/>
      <c r="C2" s="803"/>
      <c r="D2" s="803"/>
      <c r="E2" s="803"/>
      <c r="F2" s="803"/>
      <c r="G2" s="803"/>
      <c r="H2" s="803"/>
      <c r="I2" s="803"/>
      <c r="J2" s="803"/>
      <c r="K2" s="803"/>
      <c r="L2" s="803"/>
      <c r="M2" s="803"/>
      <c r="N2" s="803"/>
      <c r="O2" s="803"/>
      <c r="P2" s="803"/>
      <c r="Q2" s="803"/>
      <c r="R2" s="803"/>
      <c r="W2" s="145"/>
      <c r="X2" s="250" t="s">
        <v>1</v>
      </c>
      <c r="Y2" s="423" t="s">
        <v>66</v>
      </c>
      <c r="Z2" s="206" t="s">
        <v>130</v>
      </c>
      <c r="AA2" s="206" t="s">
        <v>131</v>
      </c>
      <c r="AB2" s="206" t="s">
        <v>132</v>
      </c>
      <c r="AC2" s="424">
        <v>3</v>
      </c>
      <c r="AD2" s="419">
        <v>2</v>
      </c>
      <c r="AE2" s="419">
        <v>1</v>
      </c>
      <c r="AF2" s="425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0" ht="13.2" customHeight="1" x14ac:dyDescent="0.25">
      <c r="A3" s="803" t="str">
        <f>Расп!$A$25</f>
        <v>Командный чемпионат России</v>
      </c>
      <c r="B3" s="803"/>
      <c r="C3" s="803"/>
      <c r="D3" s="803"/>
      <c r="E3" s="803"/>
      <c r="F3" s="803"/>
      <c r="G3" s="803"/>
      <c r="H3" s="803"/>
      <c r="I3" s="803"/>
      <c r="J3" s="803"/>
      <c r="K3" s="803"/>
      <c r="L3" s="803"/>
      <c r="M3" s="803"/>
      <c r="N3" s="803"/>
      <c r="O3" s="803"/>
      <c r="P3" s="803"/>
      <c r="Q3" s="803"/>
      <c r="R3" s="803"/>
      <c r="W3" s="145"/>
      <c r="X3" s="250"/>
      <c r="Y3" s="206"/>
      <c r="Z3" s="206"/>
      <c r="AA3" s="206"/>
      <c r="AB3" s="206"/>
      <c r="AD3" s="206"/>
      <c r="AE3" s="206"/>
      <c r="AF3" s="426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0" ht="13.2" customHeight="1" x14ac:dyDescent="0.25">
      <c r="A4" s="803" t="str">
        <f>Расп!$A$27</f>
        <v>по многоборью</v>
      </c>
      <c r="B4" s="803"/>
      <c r="C4" s="803"/>
      <c r="D4" s="803"/>
      <c r="E4" s="803"/>
      <c r="F4" s="803"/>
      <c r="G4" s="803"/>
      <c r="H4" s="803"/>
      <c r="I4" s="803"/>
      <c r="J4" s="803"/>
      <c r="K4" s="803"/>
      <c r="L4" s="803"/>
      <c r="M4" s="803"/>
      <c r="N4" s="803"/>
      <c r="O4" s="803"/>
      <c r="P4" s="803"/>
      <c r="Q4" s="803"/>
      <c r="R4" s="80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0" ht="13.2" customHeight="1" x14ac:dyDescent="0.3">
      <c r="A5" s="804" t="s">
        <v>262</v>
      </c>
      <c r="B5" s="804"/>
      <c r="C5" s="804"/>
      <c r="D5" s="804"/>
      <c r="E5" s="804"/>
      <c r="F5" s="804"/>
      <c r="G5" s="804"/>
      <c r="H5" s="804"/>
      <c r="I5" s="804"/>
      <c r="J5" s="804"/>
      <c r="K5" s="804"/>
      <c r="L5" s="804"/>
      <c r="M5" s="804"/>
      <c r="N5" s="804"/>
      <c r="O5" s="804"/>
      <c r="P5" s="804"/>
      <c r="Q5" s="804"/>
      <c r="R5" s="80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0" ht="13.2" customHeight="1" x14ac:dyDescent="0.25">
      <c r="A6" s="801" t="s">
        <v>118</v>
      </c>
      <c r="B6" s="801"/>
      <c r="C6" s="801"/>
      <c r="D6" s="801"/>
      <c r="E6" s="801"/>
      <c r="F6" s="801"/>
      <c r="G6" s="801"/>
      <c r="H6" s="801"/>
      <c r="I6" s="801"/>
      <c r="J6" s="801"/>
      <c r="K6" s="801"/>
      <c r="L6" s="801"/>
      <c r="M6" s="801"/>
      <c r="N6" s="801"/>
      <c r="O6" s="801"/>
      <c r="P6" s="801"/>
      <c r="Q6" s="801"/>
      <c r="R6" s="80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0" ht="13.2" customHeight="1" x14ac:dyDescent="0.25">
      <c r="C7" s="418"/>
      <c r="E7" s="147"/>
      <c r="G7" s="41"/>
      <c r="H7" s="206"/>
      <c r="I7" s="427"/>
      <c r="K7" s="503" t="str">
        <f>Расп!$A$1</f>
        <v>04.09.2019 г.</v>
      </c>
      <c r="L7" s="521" t="s">
        <v>267</v>
      </c>
      <c r="M7" s="504"/>
      <c r="N7" s="500"/>
      <c r="O7" s="501"/>
      <c r="P7" s="501"/>
      <c r="Q7" s="503" t="str">
        <f>Расп!$A$7</f>
        <v>19.05.2019 г.</v>
      </c>
      <c r="R7" s="504" t="s">
        <v>267</v>
      </c>
      <c r="S7" s="418"/>
      <c r="T7" s="418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0" ht="13.2" customHeight="1" x14ac:dyDescent="0.25">
      <c r="A8" s="802" t="str">
        <f>Расп!A28</f>
        <v>Мужчины</v>
      </c>
      <c r="B8" s="802"/>
      <c r="C8" s="505" t="s">
        <v>117</v>
      </c>
      <c r="E8" s="147"/>
      <c r="G8" s="41"/>
      <c r="H8" s="206"/>
      <c r="I8" s="204"/>
      <c r="J8" s="519"/>
      <c r="K8" s="206" t="str">
        <f>Расп!A2</f>
        <v>бег 100 м</v>
      </c>
      <c r="L8" s="520">
        <f>Расп!B2</f>
        <v>0.39583333333333331</v>
      </c>
      <c r="M8" s="502"/>
      <c r="N8" s="500"/>
      <c r="O8" s="501"/>
      <c r="P8" s="501"/>
      <c r="Q8" s="518" t="str">
        <f>Расп!A8</f>
        <v>бег с барьерами 110 м (1,067 м)</v>
      </c>
      <c r="R8" s="502">
        <f>Расп!B8</f>
        <v>0.41666666666666669</v>
      </c>
      <c r="S8" s="418"/>
      <c r="T8" s="418"/>
      <c r="W8" s="152" t="s">
        <v>22</v>
      </c>
      <c r="X8" s="250" t="s">
        <v>76</v>
      </c>
      <c r="Y8" s="428">
        <v>1</v>
      </c>
      <c r="Z8" s="428">
        <v>2</v>
      </c>
      <c r="AA8" s="206">
        <v>3</v>
      </c>
      <c r="AB8" s="428" t="s">
        <v>61</v>
      </c>
      <c r="AC8" s="428" t="s">
        <v>60</v>
      </c>
      <c r="AD8" s="428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0" ht="13.2" customHeight="1" x14ac:dyDescent="0.25">
      <c r="A9" s="206" t="str">
        <f>Расп!$A$14</f>
        <v>РМ</v>
      </c>
      <c r="B9" s="418">
        <f>Расп!B14</f>
        <v>9039</v>
      </c>
      <c r="C9" s="418" t="s">
        <v>264</v>
      </c>
      <c r="G9" s="41"/>
      <c r="H9" s="206"/>
      <c r="I9" s="204"/>
      <c r="J9" s="204"/>
      <c r="K9" s="206" t="str">
        <f>Расп!A3</f>
        <v>прыжок в длину</v>
      </c>
      <c r="L9" s="520">
        <f>Расп!B3</f>
        <v>0.42708333333333331</v>
      </c>
      <c r="M9" s="502"/>
      <c r="N9" s="500"/>
      <c r="O9" s="501"/>
      <c r="P9" s="501"/>
      <c r="Q9" s="518" t="str">
        <f>Расп!A9</f>
        <v>метание диска (2,0 кг)</v>
      </c>
      <c r="R9" s="502">
        <f>Расп!B9</f>
        <v>0.4513888888888889</v>
      </c>
      <c r="S9" s="418"/>
      <c r="T9" s="418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0" ht="13.2" customHeight="1" x14ac:dyDescent="0.3">
      <c r="A10" s="206" t="str">
        <f>Расп!$A$15</f>
        <v>РЕ</v>
      </c>
      <c r="B10" s="418">
        <f>Расп!B15</f>
        <v>9026</v>
      </c>
      <c r="C10" s="418" t="s">
        <v>265</v>
      </c>
      <c r="G10" s="41"/>
      <c r="H10" s="206"/>
      <c r="I10" s="204"/>
      <c r="J10" s="204"/>
      <c r="K10" s="206" t="str">
        <f>Расп!A4</f>
        <v>толкание ядра (7,26 кг)</v>
      </c>
      <c r="L10" s="520">
        <f>Расп!B4</f>
        <v>0.46875</v>
      </c>
      <c r="M10" s="502"/>
      <c r="N10" s="501"/>
      <c r="O10" s="257"/>
      <c r="P10" s="204"/>
      <c r="Q10" s="518" t="str">
        <f>Расп!A10</f>
        <v>прыжок с шестом</v>
      </c>
      <c r="R10" s="502">
        <f>Расп!B10</f>
        <v>0.52777777777777779</v>
      </c>
      <c r="W10" s="152" t="s">
        <v>24</v>
      </c>
      <c r="X10" s="320"/>
      <c r="Y10" s="320"/>
      <c r="Z10" s="320"/>
      <c r="AA10" s="320"/>
      <c r="AB10" s="320"/>
      <c r="AC10" s="320"/>
      <c r="AD10" s="430"/>
      <c r="AE10" s="430"/>
      <c r="AF10" s="430"/>
      <c r="AH10" s="320"/>
      <c r="AI10" s="431"/>
      <c r="AJ10" s="320"/>
      <c r="AK10" s="320"/>
      <c r="AL10" s="320"/>
      <c r="AM10" s="320"/>
      <c r="AN10" s="430"/>
      <c r="AR10" s="418"/>
      <c r="AS10" s="250"/>
      <c r="AT10" s="206"/>
      <c r="AU10" s="206"/>
      <c r="AV10" s="206"/>
      <c r="AW10" s="206"/>
      <c r="AX10" s="206"/>
    </row>
    <row r="11" spans="1:50" ht="13.2" customHeight="1" x14ac:dyDescent="0.3">
      <c r="A11" s="206" t="str">
        <f>Расп!$A$16</f>
        <v>РР</v>
      </c>
      <c r="B11" s="418">
        <f>Расп!B16</f>
        <v>8698</v>
      </c>
      <c r="C11" s="418" t="s">
        <v>266</v>
      </c>
      <c r="G11" s="41"/>
      <c r="H11" s="206"/>
      <c r="I11" s="204"/>
      <c r="J11" s="204"/>
      <c r="K11" s="206" t="str">
        <f>Расп!A5</f>
        <v>прыжок в высоту</v>
      </c>
      <c r="L11" s="520">
        <f>Расп!B5</f>
        <v>0.625</v>
      </c>
      <c r="M11" s="502"/>
      <c r="N11" s="501"/>
      <c r="O11" s="257"/>
      <c r="P11" s="204"/>
      <c r="Q11" s="518" t="str">
        <f>Расп!A11</f>
        <v>метание копья (800 г)</v>
      </c>
      <c r="R11" s="502">
        <f>Расп!B11</f>
        <v>0.625</v>
      </c>
      <c r="W11" s="152"/>
      <c r="X11" s="432" t="s">
        <v>133</v>
      </c>
      <c r="Y11" s="433">
        <v>5</v>
      </c>
      <c r="Z11" s="320"/>
      <c r="AA11" s="320"/>
      <c r="AB11" s="320"/>
      <c r="AC11" s="320"/>
      <c r="AD11" s="430"/>
      <c r="AE11" s="430"/>
      <c r="AF11" s="430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0" ht="13.2" customHeight="1" x14ac:dyDescent="0.3">
      <c r="A12" s="41" t="str">
        <f>Расп!$A$26</f>
        <v>г.Сочи, Адлерский район, стадион "Юность"</v>
      </c>
      <c r="C12" s="153"/>
      <c r="I12" s="204"/>
      <c r="J12" s="204"/>
      <c r="K12" s="206" t="str">
        <f>Расп!A6</f>
        <v>бег 400 м</v>
      </c>
      <c r="L12" s="520">
        <f>Расп!B6</f>
        <v>0.72916666666666663</v>
      </c>
      <c r="M12" s="502"/>
      <c r="N12" s="501"/>
      <c r="O12" s="501"/>
      <c r="P12" s="204"/>
      <c r="Q12" s="518" t="str">
        <f>Расп!A12</f>
        <v>бег 1500 м</v>
      </c>
      <c r="R12" s="502">
        <f>Расп!B12</f>
        <v>0.76388888888888884</v>
      </c>
      <c r="W12" s="434"/>
      <c r="X12" s="320"/>
      <c r="Y12" s="320"/>
      <c r="Z12" s="320"/>
      <c r="AA12" s="320"/>
      <c r="AB12" s="320"/>
      <c r="AC12" s="320"/>
      <c r="AD12" s="430"/>
      <c r="AE12" s="430"/>
      <c r="AF12" s="430"/>
      <c r="AH12" s="41"/>
      <c r="AI12" s="41"/>
      <c r="AK12" s="41"/>
    </row>
    <row r="13" spans="1:50" s="158" customFormat="1" ht="30.6" customHeight="1" x14ac:dyDescent="0.2">
      <c r="A13" s="506" t="s">
        <v>59</v>
      </c>
      <c r="B13" s="506" t="s">
        <v>272</v>
      </c>
      <c r="C13" s="506" t="s">
        <v>273</v>
      </c>
      <c r="D13" s="506" t="s">
        <v>274</v>
      </c>
      <c r="E13" s="435"/>
      <c r="F13" s="506" t="s">
        <v>277</v>
      </c>
      <c r="G13" s="506" t="s">
        <v>248</v>
      </c>
      <c r="H13" s="506" t="s">
        <v>269</v>
      </c>
      <c r="I13" s="506" t="s">
        <v>249</v>
      </c>
      <c r="J13" s="506" t="s">
        <v>278</v>
      </c>
      <c r="K13" s="506" t="s">
        <v>268</v>
      </c>
      <c r="L13" s="506" t="s">
        <v>270</v>
      </c>
      <c r="M13" s="506" t="s">
        <v>251</v>
      </c>
      <c r="N13" s="506" t="s">
        <v>271</v>
      </c>
      <c r="O13" s="506" t="s">
        <v>279</v>
      </c>
      <c r="P13" s="507" t="s">
        <v>29</v>
      </c>
      <c r="Q13" s="507" t="s">
        <v>1</v>
      </c>
      <c r="R13" s="508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436" t="s">
        <v>70</v>
      </c>
      <c r="AE13" s="436" t="s">
        <v>18</v>
      </c>
      <c r="AF13" s="436">
        <v>1500</v>
      </c>
      <c r="AH13" s="437" t="s">
        <v>134</v>
      </c>
      <c r="AI13" s="437" t="s">
        <v>135</v>
      </c>
      <c r="AJ13" s="158" t="s">
        <v>137</v>
      </c>
    </row>
    <row r="14" spans="1:50" s="417" customFormat="1" ht="13.2" hidden="1" customHeight="1" x14ac:dyDescent="0.25">
      <c r="D14" s="429"/>
      <c r="P14" s="157"/>
      <c r="Q14" s="157"/>
      <c r="R14" s="157"/>
      <c r="S14" s="157"/>
      <c r="T14" s="157"/>
      <c r="U14" s="157"/>
      <c r="V14" s="157"/>
      <c r="W14" s="438"/>
      <c r="X14" s="399"/>
      <c r="Y14" s="399"/>
      <c r="Z14" s="399"/>
      <c r="AA14" s="399"/>
      <c r="AB14" s="399"/>
      <c r="AC14" s="399"/>
      <c r="AD14" s="439"/>
      <c r="AE14" s="439"/>
      <c r="AF14" s="439"/>
    </row>
    <row r="15" spans="1:50" s="417" customFormat="1" ht="13.2" hidden="1" customHeight="1" thickBot="1" x14ac:dyDescent="0.3">
      <c r="A15" s="440"/>
      <c r="B15" s="440"/>
      <c r="C15" s="440"/>
      <c r="D15" s="441"/>
      <c r="E15" s="440"/>
      <c r="F15" s="440"/>
      <c r="G15" s="440"/>
      <c r="H15" s="440"/>
      <c r="I15" s="440"/>
      <c r="J15" s="440"/>
      <c r="K15" s="440"/>
      <c r="L15" s="440"/>
      <c r="M15" s="440"/>
      <c r="N15" s="440"/>
      <c r="O15" s="440"/>
      <c r="P15" s="442"/>
      <c r="Q15" s="442"/>
      <c r="R15" s="442"/>
      <c r="S15" s="157"/>
      <c r="T15" s="157"/>
      <c r="U15" s="157"/>
      <c r="V15" s="157"/>
      <c r="W15" s="152"/>
      <c r="X15" s="399"/>
      <c r="Y15" s="399"/>
      <c r="Z15" s="399"/>
      <c r="AA15" s="399"/>
      <c r="AB15" s="399"/>
      <c r="AC15" s="399"/>
      <c r="AD15" s="439"/>
      <c r="AE15" s="439"/>
      <c r="AF15" s="439"/>
    </row>
    <row r="16" spans="1:50" s="287" customFormat="1" ht="13.2" customHeight="1" x14ac:dyDescent="0.35">
      <c r="A16" s="231" t="e">
        <f>RANK(P16,$P$16:$P$40,0)</f>
        <v>#N/A</v>
      </c>
      <c r="B16" s="404">
        <v>1</v>
      </c>
      <c r="C16" s="443" t="str">
        <f>VLOOKUP(B16,Уч!$A$2:$L$34,2,FALSE)</f>
        <v>Переварюха Артём</v>
      </c>
      <c r="D16" s="444" t="str">
        <f>VLOOKUP(B16,Уч!$A$2:$L$34,3,FALSE)</f>
        <v>21.05.1999</v>
      </c>
      <c r="E16" s="509" t="s">
        <v>19</v>
      </c>
      <c r="F16" s="445">
        <f>VLOOKUP($B16,'100 м 1'!$C$18:$I$87,5,FALSE)</f>
        <v>11.44</v>
      </c>
      <c r="G16" s="446">
        <f>VLOOKUP($B16,'длина 2 '!$C$16:$O$54,11,FALSE)</f>
        <v>6.79</v>
      </c>
      <c r="H16" s="446">
        <f>VLOOKUP($B16,'ядро 2'!$C$16:$K$60,8,FALSE)</f>
        <v>10.74</v>
      </c>
      <c r="I16" s="446">
        <f>VLOOKUP($B16,'высота 2'!$C$16:$AF$57,29,FALSE)</f>
        <v>2</v>
      </c>
      <c r="J16" s="447" t="e">
        <f>VLOOKUP($B16,'4_р'!$C$17:$H$73,5,FALSE)</f>
        <v>#N/A</v>
      </c>
      <c r="K16" s="446" t="e">
        <f>VLOOKUP($B16,'1cб_р'!$C$17:$I$67,5,FALSE)</f>
        <v>#N/A</v>
      </c>
      <c r="L16" s="446" t="e">
        <f>VLOOKUP($B16,Дс_р!$C$16:$K$70,8,FALSE)</f>
        <v>#N/A</v>
      </c>
      <c r="M16" s="446" t="e">
        <f>VLOOKUP($B16,Ш_р!$C$15:$AF$69,29,FALSE)</f>
        <v>#N/A</v>
      </c>
      <c r="N16" s="446" t="e">
        <f>VLOOKUP($B16,К_р!$C$15:$K$68,8,FALSE)</f>
        <v>#N/A</v>
      </c>
      <c r="O16" s="404" t="e">
        <f>VLOOKUP($B16,'15_р'!$C$17:$H$86,5,FALSE)</f>
        <v>#N/A</v>
      </c>
      <c r="P16" s="448" t="e">
        <f>SUM(F18:O18)</f>
        <v>#N/A</v>
      </c>
      <c r="Q16" s="231" t="e">
        <f>LOOKUP(P16,Y$1:AH$1,Y$2:AH$2)</f>
        <v>#N/A</v>
      </c>
      <c r="R16" s="404" t="e">
        <f>AH16+AI16+5</f>
        <v>#N/A</v>
      </c>
      <c r="S16" s="404">
        <f>B16</f>
        <v>1</v>
      </c>
      <c r="T16" s="287" t="e">
        <f>$A16</f>
        <v>#N/A</v>
      </c>
      <c r="U16" s="287">
        <v>1</v>
      </c>
      <c r="V16" s="287" t="s">
        <v>162</v>
      </c>
      <c r="W16" s="449"/>
      <c r="X16" s="307"/>
      <c r="Y16" s="307"/>
      <c r="Z16" s="307"/>
      <c r="AA16" s="307"/>
      <c r="AB16" s="307"/>
      <c r="AC16" s="307"/>
      <c r="AD16" s="450"/>
      <c r="AE16" s="450"/>
      <c r="AF16" s="450"/>
      <c r="AG16" s="280"/>
      <c r="AH16" s="280" t="e">
        <f>IF(AND(T16&gt;16,P16&gt;=6200),"1",LOOKUP(T16,Y$5:AO$5,Y$6:AO$6))</f>
        <v>#N/A</v>
      </c>
      <c r="AI16" s="280" t="e">
        <f>LOOKUP(Q16,Y$8:AD$8,Y$9:AD$9)</f>
        <v>#N/A</v>
      </c>
      <c r="AJ16" s="404">
        <v>52</v>
      </c>
      <c r="AK16" s="280"/>
      <c r="AL16" s="280"/>
      <c r="AM16" s="280"/>
      <c r="AN16" s="280"/>
      <c r="AO16" s="280"/>
    </row>
    <row r="17" spans="1:41" s="287" customFormat="1" ht="13.2" customHeight="1" x14ac:dyDescent="0.35">
      <c r="A17" s="231"/>
      <c r="B17" s="404"/>
      <c r="C17" s="451" t="str">
        <f>VLOOKUP(B16,Уч!$A$2:$L$34,5,FALSE)</f>
        <v xml:space="preserve">Ростовская область  </v>
      </c>
      <c r="D17" s="452" t="str">
        <f>VLOOKUP(B16,Уч!$A$2:$L$34,4,FALSE)</f>
        <v>КМС</v>
      </c>
      <c r="E17" s="509" t="s">
        <v>25</v>
      </c>
      <c r="F17" s="453">
        <f>VLOOKUP($B16,'100 м 1'!$C$18:$I$87,6,FALSE)</f>
        <v>0.8</v>
      </c>
      <c r="G17" s="454">
        <f>VLOOKUP($B16,'длина 2 '!$C$16:$O$54,12,FALSE)</f>
        <v>0</v>
      </c>
      <c r="H17" s="404"/>
      <c r="I17" s="454"/>
      <c r="J17" s="455"/>
      <c r="K17" s="454" t="e">
        <f>VLOOKUP($B16,'1cб_р'!$C$17:$I$67,6,FALSE)</f>
        <v>#N/A</v>
      </c>
      <c r="L17" s="454"/>
      <c r="M17" s="454"/>
      <c r="N17" s="404"/>
      <c r="O17" s="404"/>
      <c r="P17" s="448"/>
      <c r="Q17" s="456"/>
      <c r="R17" s="404" t="e">
        <f>CONCATENATE(AH16,"+",AI16,"+",5)</f>
        <v>#N/A</v>
      </c>
      <c r="S17" s="404">
        <f>B16</f>
        <v>1</v>
      </c>
      <c r="T17" s="287" t="e">
        <f>$A16</f>
        <v>#N/A</v>
      </c>
      <c r="U17" s="287">
        <v>2</v>
      </c>
      <c r="V17" s="287" t="s">
        <v>162</v>
      </c>
      <c r="W17" s="449"/>
      <c r="X17" s="307"/>
      <c r="Y17" s="307"/>
      <c r="Z17" s="307"/>
      <c r="AA17" s="307"/>
      <c r="AB17" s="307"/>
      <c r="AC17" s="307"/>
      <c r="AD17" s="450"/>
      <c r="AE17" s="450"/>
      <c r="AF17" s="450"/>
      <c r="AG17" s="280"/>
      <c r="AH17" s="280"/>
      <c r="AI17" s="231"/>
      <c r="AJ17" s="404">
        <v>52</v>
      </c>
      <c r="AK17" s="231"/>
      <c r="AL17" s="280"/>
      <c r="AM17" s="280"/>
      <c r="AN17" s="280"/>
      <c r="AO17" s="280"/>
    </row>
    <row r="18" spans="1:41" s="287" customFormat="1" ht="13.2" customHeight="1" x14ac:dyDescent="0.35">
      <c r="A18" s="231"/>
      <c r="B18" s="404"/>
      <c r="C18" s="457" t="str">
        <f>VLOOKUP(B16,Уч!$A$2:$L$34,7,FALSE)</f>
        <v>ГБУ РО "СШОР №8" г.Ростов-на-Дону</v>
      </c>
      <c r="D18" s="452"/>
      <c r="E18" s="509" t="s">
        <v>29</v>
      </c>
      <c r="F18" s="458">
        <f>VLOOKUP($B16,'100 м 1'!$C$18:$I$87,7,FALSE)</f>
        <v>765</v>
      </c>
      <c r="G18" s="404">
        <f>VLOOKUP($B16,'длина 2 '!$C$16:$O$54,13,FALSE)</f>
        <v>0</v>
      </c>
      <c r="H18" s="404">
        <f>VLOOKUP($B16,'ядро 2'!$C$16:$K$60,9,FALSE)</f>
        <v>530</v>
      </c>
      <c r="I18" s="404">
        <f>VLOOKUP($B16,'высота 2'!$C$16:$AF$57,30,)</f>
        <v>0</v>
      </c>
      <c r="J18" s="459" t="e">
        <f>VLOOKUP($B16,'4_р'!$C$17:$H$73,6,FALSE)</f>
        <v>#N/A</v>
      </c>
      <c r="K18" s="404" t="e">
        <f>VLOOKUP($B16,'1cб_р'!$C$17:$I$67,7,FALSE)</f>
        <v>#N/A</v>
      </c>
      <c r="L18" s="404" t="e">
        <f>VLOOKUP($B16,Дс_р!$C$16:$K$70,9,FALSE)</f>
        <v>#N/A</v>
      </c>
      <c r="M18" s="404" t="e">
        <f>VLOOKUP($B16,Ш_р!$C$15:$AF$69,30,FALSE)</f>
        <v>#N/A</v>
      </c>
      <c r="N18" s="404" t="e">
        <f>VLOOKUP($B16,К_р!$C$15:$K$68,9,FALSE)</f>
        <v>#N/A</v>
      </c>
      <c r="O18" s="404" t="e">
        <f>VLOOKUP($B16,'15_р'!$C$17:$H$86,6,FALSE)</f>
        <v>#N/A</v>
      </c>
      <c r="P18" s="448"/>
      <c r="Q18" s="456"/>
      <c r="R18" s="372"/>
      <c r="S18" s="404">
        <f>B16</f>
        <v>1</v>
      </c>
      <c r="T18" s="287" t="e">
        <f>$A16</f>
        <v>#N/A</v>
      </c>
      <c r="U18" s="287">
        <v>3</v>
      </c>
      <c r="V18" s="287" t="s">
        <v>162</v>
      </c>
      <c r="W18" s="449"/>
      <c r="X18" s="307"/>
      <c r="Y18" s="307"/>
      <c r="Z18" s="307"/>
      <c r="AA18" s="307"/>
      <c r="AB18" s="307"/>
      <c r="AC18" s="307"/>
      <c r="AD18" s="450"/>
      <c r="AE18" s="450"/>
      <c r="AF18" s="450"/>
      <c r="AG18" s="280"/>
      <c r="AH18" s="231"/>
      <c r="AI18" s="231"/>
      <c r="AJ18" s="404">
        <v>52</v>
      </c>
      <c r="AK18" s="231"/>
      <c r="AL18" s="280"/>
      <c r="AM18" s="280"/>
      <c r="AN18" s="280"/>
      <c r="AO18" s="280"/>
    </row>
    <row r="19" spans="1:41" s="287" customFormat="1" ht="13.2" customHeight="1" x14ac:dyDescent="0.35">
      <c r="A19" s="231"/>
      <c r="B19" s="404"/>
      <c r="C19" s="451" t="str">
        <f>VLOOKUP(B16,Уч!$A$2:$L$34,11,FALSE)</f>
        <v>Болдырева И.А.</v>
      </c>
      <c r="D19" s="452"/>
      <c r="E19" s="509" t="s">
        <v>276</v>
      </c>
      <c r="F19" s="458">
        <f>F18</f>
        <v>765</v>
      </c>
      <c r="G19" s="404">
        <f>F19+G18</f>
        <v>765</v>
      </c>
      <c r="H19" s="404">
        <f>G19+H18</f>
        <v>1295</v>
      </c>
      <c r="I19" s="404">
        <f>H19+I18</f>
        <v>1295</v>
      </c>
      <c r="J19" s="459" t="e">
        <f>SUM($F18:J18)</f>
        <v>#N/A</v>
      </c>
      <c r="K19" s="404" t="e">
        <f>SUM($F18:$K18)</f>
        <v>#N/A</v>
      </c>
      <c r="L19" s="404" t="e">
        <f>K19+L18</f>
        <v>#N/A</v>
      </c>
      <c r="M19" s="404" t="e">
        <f>L19+M18</f>
        <v>#N/A</v>
      </c>
      <c r="N19" s="404" t="e">
        <f>SUM($F18:$N18)</f>
        <v>#N/A</v>
      </c>
      <c r="O19" s="404" t="e">
        <f>SUM($F18:$O18)</f>
        <v>#N/A</v>
      </c>
      <c r="P19" s="448"/>
      <c r="Q19" s="456"/>
      <c r="R19" s="372"/>
      <c r="S19" s="404">
        <f>B16</f>
        <v>1</v>
      </c>
      <c r="T19" s="287" t="e">
        <f>$A16</f>
        <v>#N/A</v>
      </c>
      <c r="U19" s="287">
        <v>4</v>
      </c>
      <c r="V19" s="287" t="s">
        <v>162</v>
      </c>
      <c r="W19" s="372">
        <f t="shared" ref="W19:AF19" si="0">F19</f>
        <v>765</v>
      </c>
      <c r="X19" s="372">
        <f t="shared" si="0"/>
        <v>765</v>
      </c>
      <c r="Y19" s="372">
        <f t="shared" si="0"/>
        <v>1295</v>
      </c>
      <c r="Z19" s="372">
        <f t="shared" si="0"/>
        <v>1295</v>
      </c>
      <c r="AA19" s="372" t="e">
        <f t="shared" si="0"/>
        <v>#N/A</v>
      </c>
      <c r="AB19" s="372" t="e">
        <f t="shared" si="0"/>
        <v>#N/A</v>
      </c>
      <c r="AC19" s="372" t="e">
        <f t="shared" si="0"/>
        <v>#N/A</v>
      </c>
      <c r="AD19" s="372" t="e">
        <f t="shared" si="0"/>
        <v>#N/A</v>
      </c>
      <c r="AE19" s="372" t="e">
        <f t="shared" si="0"/>
        <v>#N/A</v>
      </c>
      <c r="AF19" s="372" t="e">
        <f t="shared" si="0"/>
        <v>#N/A</v>
      </c>
      <c r="AG19" s="280"/>
      <c r="AH19" s="231"/>
      <c r="AI19" s="231"/>
      <c r="AJ19" s="404">
        <v>52</v>
      </c>
      <c r="AK19" s="231"/>
      <c r="AL19" s="280"/>
      <c r="AM19" s="280"/>
      <c r="AN19" s="280"/>
      <c r="AO19" s="280"/>
    </row>
    <row r="20" spans="1:41" s="287" customFormat="1" ht="13.2" customHeight="1" x14ac:dyDescent="0.25">
      <c r="A20" s="522"/>
      <c r="B20" s="523"/>
      <c r="C20" s="524">
        <f>VLOOKUP(B16,Уч!$A$2:$L$34,12,FALSE)</f>
        <v>0</v>
      </c>
      <c r="D20" s="525"/>
      <c r="E20" s="509" t="s">
        <v>59</v>
      </c>
      <c r="F20" s="458" t="e">
        <f>RANK(F19,$W$19:$W$40,0)</f>
        <v>#N/A</v>
      </c>
      <c r="G20" s="523" t="e">
        <f>RANK(G19,$X$19:$X$40,0)</f>
        <v>#N/A</v>
      </c>
      <c r="H20" s="523" t="e">
        <f>RANK(H19,$Y$19:$Y$40,0)</f>
        <v>#N/A</v>
      </c>
      <c r="I20" s="523" t="e">
        <f>RANK(I19,$Z$19:$Z$40,0)</f>
        <v>#N/A</v>
      </c>
      <c r="J20" s="526" t="e">
        <f>RANK(J19,$AA$19:$AA$40,0)</f>
        <v>#N/A</v>
      </c>
      <c r="K20" s="523" t="e">
        <f>RANK(K19,$AB$19:$AB$40,0)</f>
        <v>#N/A</v>
      </c>
      <c r="L20" s="523" t="e">
        <f>RANK(L19,$AC$19:$AC$40,0)</f>
        <v>#N/A</v>
      </c>
      <c r="M20" s="523" t="e">
        <f>RANK(M19,$AD$19:$AD$40,0)</f>
        <v>#N/A</v>
      </c>
      <c r="N20" s="523" t="e">
        <f>RANK(N19,$AE$19:$AE$40,0)</f>
        <v>#N/A</v>
      </c>
      <c r="O20" s="523" t="e">
        <f>RANK(O19,$AF$19:$AF$40,0)</f>
        <v>#N/A</v>
      </c>
      <c r="P20" s="448"/>
      <c r="Q20" s="527"/>
      <c r="R20" s="527"/>
      <c r="S20" s="205">
        <f>B16</f>
        <v>1</v>
      </c>
      <c r="T20" s="287" t="e">
        <f>$A16</f>
        <v>#N/A</v>
      </c>
      <c r="U20" s="287">
        <v>5</v>
      </c>
      <c r="V20" s="287" t="s">
        <v>162</v>
      </c>
      <c r="W20" s="449"/>
      <c r="X20" s="307"/>
      <c r="Y20" s="307"/>
      <c r="Z20" s="307"/>
      <c r="AA20" s="307"/>
      <c r="AB20" s="307"/>
      <c r="AC20" s="307"/>
      <c r="AD20" s="450"/>
      <c r="AE20" s="450"/>
      <c r="AF20" s="450"/>
      <c r="AG20" s="280"/>
      <c r="AH20" s="231"/>
      <c r="AI20" s="231"/>
      <c r="AJ20" s="404">
        <v>52</v>
      </c>
      <c r="AK20" s="231"/>
      <c r="AL20" s="280"/>
      <c r="AM20" s="280"/>
      <c r="AN20" s="280"/>
      <c r="AO20" s="280"/>
    </row>
    <row r="21" spans="1:41" s="280" customFormat="1" ht="13.2" customHeight="1" x14ac:dyDescent="0.35">
      <c r="A21" s="529" t="e">
        <f>RANK(P21,$P$16:$P$40,0)</f>
        <v>#N/A</v>
      </c>
      <c r="B21" s="530">
        <v>2</v>
      </c>
      <c r="C21" s="531" t="str">
        <f>VLOOKUP(B21,Уч!$A$2:$L$34,2,FALSE)</f>
        <v>Игнашев Владимир</v>
      </c>
      <c r="D21" s="532" t="str">
        <f>VLOOKUP(B21,Уч!$A$2:$L$34,3,FALSE)</f>
        <v>05.10.1996</v>
      </c>
      <c r="E21" s="536" t="s">
        <v>19</v>
      </c>
      <c r="F21" s="533">
        <f>VLOOKUP($B21,'100 м 1'!$C$18:$I$87,5,FALSE)</f>
        <v>11.13</v>
      </c>
      <c r="G21" s="533" t="e">
        <f>VLOOKUP($B21,'длина 2 '!$C$16:$O$54,11,FALSE)</f>
        <v>#N/A</v>
      </c>
      <c r="H21" s="533" t="e">
        <f>VLOOKUP($B21,'ядро 2'!$C$16:$K$60,8,FALSE)</f>
        <v>#N/A</v>
      </c>
      <c r="I21" s="533" t="e">
        <f>VLOOKUP($B21,'высота 2'!$C$16:$AF$57,29,FALSE)</f>
        <v>#N/A</v>
      </c>
      <c r="J21" s="534">
        <f>VLOOKUP($B21,'4_р'!$C$17:$H$73,5,FALSE)</f>
        <v>49.89</v>
      </c>
      <c r="K21" s="533">
        <f>VLOOKUP($B21,'1cб_р'!$C$17:$I$67,5,FALSE)</f>
        <v>15.7</v>
      </c>
      <c r="L21" s="533">
        <f>VLOOKUP($B21,Дс_р!$C$16:$K$70,8,FALSE)</f>
        <v>32.450000000000003</v>
      </c>
      <c r="M21" s="533">
        <f>VLOOKUP($B21,Ш_р!$C$15:$AF$69,29,FALSE)</f>
        <v>4</v>
      </c>
      <c r="N21" s="533">
        <f>VLOOKUP($B21,К_р!$C$15:$K$68,8,FALSE)</f>
        <v>47.1</v>
      </c>
      <c r="O21" s="530" t="str">
        <f>VLOOKUP($B21,'15_р'!$C$17:$H$86,5,FALSE)</f>
        <v>4:22.85</v>
      </c>
      <c r="P21" s="535" t="e">
        <f>SUM(F23:O23)</f>
        <v>#N/A</v>
      </c>
      <c r="Q21" s="529" t="e">
        <f>LOOKUP(P21,Y$1:AH$1,Y$2:AH$2)</f>
        <v>#N/A</v>
      </c>
      <c r="R21" s="530" t="e">
        <f>AH21+AI21+5</f>
        <v>#N/A</v>
      </c>
      <c r="S21" s="404">
        <f>B21</f>
        <v>2</v>
      </c>
      <c r="T21" s="287" t="e">
        <f>$A21</f>
        <v>#N/A</v>
      </c>
      <c r="U21" s="287">
        <v>1</v>
      </c>
      <c r="V21" s="287" t="e">
        <f>$A21</f>
        <v>#N/A</v>
      </c>
      <c r="W21" s="449"/>
      <c r="X21" s="307"/>
      <c r="Y21" s="307"/>
      <c r="Z21" s="307"/>
      <c r="AA21" s="307"/>
      <c r="AB21" s="307"/>
      <c r="AC21" s="307"/>
      <c r="AD21" s="450"/>
      <c r="AE21" s="450"/>
      <c r="AF21" s="450"/>
      <c r="AH21" s="280" t="e">
        <f>IF(AND(T21&gt;16,P21&gt;=6200),"1",LOOKUP(T21,Y$5:AO$5,Y$6:AO$6))</f>
        <v>#N/A</v>
      </c>
      <c r="AI21" s="280" t="e">
        <f>LOOKUP(Q21,Y$8:AD$8,Y$9:AD$9)</f>
        <v>#N/A</v>
      </c>
      <c r="AJ21" s="404">
        <v>54</v>
      </c>
      <c r="AK21" s="231"/>
    </row>
    <row r="22" spans="1:41" s="280" customFormat="1" ht="13.2" customHeight="1" x14ac:dyDescent="0.35">
      <c r="A22" s="231"/>
      <c r="B22" s="404"/>
      <c r="C22" s="451" t="str">
        <f>VLOOKUP(B21,Уч!$A$2:$L$34,5,FALSE)</f>
        <v xml:space="preserve">Ростовская область  </v>
      </c>
      <c r="D22" s="444" t="str">
        <f>VLOOKUP(B21,Уч!$A$2:$L$34,4,FALSE)</f>
        <v>МС</v>
      </c>
      <c r="E22" s="509" t="s">
        <v>25</v>
      </c>
      <c r="F22" s="453">
        <f>VLOOKUP($B21,'100 м 1'!$C$18:$I$87,6,FALSE)</f>
        <v>0</v>
      </c>
      <c r="G22" s="454" t="e">
        <f>VLOOKUP($B21,'длина 2 '!$C$16:$O$54,12,FALSE)</f>
        <v>#N/A</v>
      </c>
      <c r="H22" s="404"/>
      <c r="I22" s="454"/>
      <c r="J22" s="455"/>
      <c r="K22" s="454">
        <f>VLOOKUP($B21,'1cб_р'!$C$17:$I$67,6,FALSE)</f>
        <v>0</v>
      </c>
      <c r="L22" s="454"/>
      <c r="M22" s="454"/>
      <c r="N22" s="404"/>
      <c r="O22" s="404"/>
      <c r="P22" s="448"/>
      <c r="Q22" s="456"/>
      <c r="R22" s="404" t="e">
        <f>CONCATENATE(AH21,"+",AI21,"+",5)</f>
        <v>#N/A</v>
      </c>
      <c r="S22" s="404">
        <f>B21</f>
        <v>2</v>
      </c>
      <c r="T22" s="287" t="e">
        <f>$A21</f>
        <v>#N/A</v>
      </c>
      <c r="U22" s="287">
        <v>2</v>
      </c>
      <c r="V22" s="287" t="e">
        <f>$A21</f>
        <v>#N/A</v>
      </c>
      <c r="W22" s="449"/>
      <c r="X22" s="307"/>
      <c r="Y22" s="307"/>
      <c r="Z22" s="307"/>
      <c r="AA22" s="307"/>
      <c r="AB22" s="307"/>
      <c r="AC22" s="307"/>
      <c r="AD22" s="450"/>
      <c r="AE22" s="450"/>
      <c r="AF22" s="450"/>
      <c r="AH22" s="231"/>
      <c r="AI22" s="231"/>
      <c r="AJ22" s="404">
        <v>54</v>
      </c>
      <c r="AK22" s="231"/>
    </row>
    <row r="23" spans="1:41" s="280" customFormat="1" ht="13.2" customHeight="1" x14ac:dyDescent="0.35">
      <c r="A23" s="231"/>
      <c r="B23" s="404"/>
      <c r="C23" s="457" t="str">
        <f>VLOOKUP(B21,Уч!$A$2:$L$34,7,FALSE)</f>
        <v>ГБУ РО "СШОР №8" г.Ростов-на-Дону</v>
      </c>
      <c r="D23" s="444"/>
      <c r="E23" s="509" t="s">
        <v>29</v>
      </c>
      <c r="F23" s="458">
        <f>VLOOKUP($B21,'100 м 1'!$C$18:$I$87,7,FALSE)</f>
        <v>832</v>
      </c>
      <c r="G23" s="404" t="e">
        <f>VLOOKUP($B21,'длина 2 '!$C$16:$O$54,13,FALSE)</f>
        <v>#N/A</v>
      </c>
      <c r="H23" s="404" t="e">
        <f>VLOOKUP($B21,'ядро 2'!$C$16:$K$60,9,FALSE)</f>
        <v>#N/A</v>
      </c>
      <c r="I23" s="404" t="e">
        <f>VLOOKUP($B21,'высота 2'!$C$16:$AF$57,30,)</f>
        <v>#N/A</v>
      </c>
      <c r="J23" s="459">
        <f>VLOOKUP($B21,'4_р'!$C$17:$H$73,6,FALSE)</f>
        <v>820</v>
      </c>
      <c r="K23" s="404">
        <f>VLOOKUP($B21,'1cб_р'!$C$17:$I$67,7,FALSE)</f>
        <v>767</v>
      </c>
      <c r="L23" s="404">
        <f>VLOOKUP($B21,Дс_р!$C$16:$K$70,9,FALSE)</f>
        <v>513</v>
      </c>
      <c r="M23" s="404">
        <f>VLOOKUP($B21,Ш_р!$C$15:$AF$69,30,FALSE)</f>
        <v>617</v>
      </c>
      <c r="N23" s="404">
        <f>VLOOKUP($B21,К_р!$C$15:$K$68,9,FALSE)</f>
        <v>546</v>
      </c>
      <c r="O23" s="404">
        <f>VLOOKUP($B21,'15_р'!$C$17:$H$86,6,FALSE)</f>
        <v>792</v>
      </c>
      <c r="P23" s="448"/>
      <c r="Q23" s="372"/>
      <c r="R23" s="372"/>
      <c r="S23" s="404">
        <f>B21</f>
        <v>2</v>
      </c>
      <c r="T23" s="287" t="e">
        <f>$A21</f>
        <v>#N/A</v>
      </c>
      <c r="U23" s="287">
        <v>3</v>
      </c>
      <c r="V23" s="287" t="e">
        <f>$A21</f>
        <v>#N/A</v>
      </c>
      <c r="W23" s="449"/>
      <c r="X23" s="307"/>
      <c r="Y23" s="307"/>
      <c r="Z23" s="307"/>
      <c r="AA23" s="307"/>
      <c r="AB23" s="307"/>
      <c r="AC23" s="307"/>
      <c r="AD23" s="450"/>
      <c r="AE23" s="450"/>
      <c r="AF23" s="450"/>
      <c r="AH23" s="231"/>
      <c r="AI23" s="231"/>
      <c r="AJ23" s="404">
        <v>54</v>
      </c>
      <c r="AK23" s="231"/>
    </row>
    <row r="24" spans="1:41" s="280" customFormat="1" ht="13.2" customHeight="1" x14ac:dyDescent="0.35">
      <c r="A24" s="231"/>
      <c r="B24" s="404"/>
      <c r="C24" s="451" t="str">
        <f>VLOOKUP(B21,Уч!$A$2:$L$34,11,FALSE)</f>
        <v>Болдырева И.А., Сретенцев В.В.</v>
      </c>
      <c r="D24" s="444"/>
      <c r="E24" s="509" t="s">
        <v>276</v>
      </c>
      <c r="F24" s="458">
        <f>F23</f>
        <v>832</v>
      </c>
      <c r="G24" s="404" t="e">
        <f>F24+G23</f>
        <v>#N/A</v>
      </c>
      <c r="H24" s="404" t="e">
        <f>G24+H23</f>
        <v>#N/A</v>
      </c>
      <c r="I24" s="404" t="e">
        <f>H24+I23</f>
        <v>#N/A</v>
      </c>
      <c r="J24" s="459" t="e">
        <f>SUM($F23:J23)</f>
        <v>#N/A</v>
      </c>
      <c r="K24" s="404" t="e">
        <f>SUM($F23:$K23)</f>
        <v>#N/A</v>
      </c>
      <c r="L24" s="404" t="e">
        <f>K24+L23</f>
        <v>#N/A</v>
      </c>
      <c r="M24" s="404" t="e">
        <f>L24+M23</f>
        <v>#N/A</v>
      </c>
      <c r="N24" s="404" t="e">
        <f>SUM($F23:$N23)</f>
        <v>#N/A</v>
      </c>
      <c r="O24" s="404" t="e">
        <f>SUM($F23:$O23)</f>
        <v>#N/A</v>
      </c>
      <c r="P24" s="448"/>
      <c r="Q24" s="372"/>
      <c r="R24" s="372"/>
      <c r="S24" s="404">
        <f>B21</f>
        <v>2</v>
      </c>
      <c r="T24" s="287" t="e">
        <f>$A21</f>
        <v>#N/A</v>
      </c>
      <c r="U24" s="287">
        <v>4</v>
      </c>
      <c r="V24" s="287" t="e">
        <f>$A21</f>
        <v>#N/A</v>
      </c>
      <c r="W24" s="372">
        <f t="shared" ref="W24:AF24" si="1">F24</f>
        <v>832</v>
      </c>
      <c r="X24" s="372" t="e">
        <f t="shared" si="1"/>
        <v>#N/A</v>
      </c>
      <c r="Y24" s="372" t="e">
        <f t="shared" si="1"/>
        <v>#N/A</v>
      </c>
      <c r="Z24" s="372" t="e">
        <f t="shared" si="1"/>
        <v>#N/A</v>
      </c>
      <c r="AA24" s="372" t="e">
        <f t="shared" si="1"/>
        <v>#N/A</v>
      </c>
      <c r="AB24" s="372" t="e">
        <f t="shared" si="1"/>
        <v>#N/A</v>
      </c>
      <c r="AC24" s="372" t="e">
        <f t="shared" si="1"/>
        <v>#N/A</v>
      </c>
      <c r="AD24" s="372" t="e">
        <f t="shared" si="1"/>
        <v>#N/A</v>
      </c>
      <c r="AE24" s="372" t="e">
        <f t="shared" si="1"/>
        <v>#N/A</v>
      </c>
      <c r="AF24" s="372" t="e">
        <f t="shared" si="1"/>
        <v>#N/A</v>
      </c>
      <c r="AH24" s="231"/>
      <c r="AI24" s="231"/>
      <c r="AJ24" s="404">
        <v>54</v>
      </c>
      <c r="AK24" s="231"/>
    </row>
    <row r="25" spans="1:41" s="280" customFormat="1" ht="13.2" customHeight="1" x14ac:dyDescent="0.25">
      <c r="A25" s="522"/>
      <c r="B25" s="523"/>
      <c r="C25" s="524" t="str">
        <f>VLOOKUP(B21,Уч!$A$2:$L$34,12,FALSE)</f>
        <v/>
      </c>
      <c r="D25" s="528"/>
      <c r="E25" s="509" t="s">
        <v>59</v>
      </c>
      <c r="F25" s="458" t="e">
        <f>RANK(F24,$W$19:$W$40,0)</f>
        <v>#N/A</v>
      </c>
      <c r="G25" s="523" t="e">
        <f>RANK(G24,$X$19:$X$40,0)</f>
        <v>#N/A</v>
      </c>
      <c r="H25" s="523" t="e">
        <f>RANK(H24,$Y$19:$Y$40,0)</f>
        <v>#N/A</v>
      </c>
      <c r="I25" s="523" t="e">
        <f>RANK(I24,$Z$19:$Z$40,0)</f>
        <v>#N/A</v>
      </c>
      <c r="J25" s="526" t="e">
        <f>RANK(J24,$AA$19:$AA$40,0)</f>
        <v>#N/A</v>
      </c>
      <c r="K25" s="523" t="e">
        <f>RANK(K24,$AB$19:$AB$40,0)</f>
        <v>#N/A</v>
      </c>
      <c r="L25" s="523" t="e">
        <f>RANK(L24,$AC$19:$AC$40,0)</f>
        <v>#N/A</v>
      </c>
      <c r="M25" s="523" t="e">
        <f>RANK(M24,$AD$19:$AD$40,0)</f>
        <v>#N/A</v>
      </c>
      <c r="N25" s="523" t="e">
        <f>RANK(N24,$AE$19:$AE$40,0)</f>
        <v>#N/A</v>
      </c>
      <c r="O25" s="523" t="e">
        <f>RANK(O24,$AF$19:$AF$40,0)</f>
        <v>#N/A</v>
      </c>
      <c r="P25" s="448"/>
      <c r="Q25" s="527"/>
      <c r="R25" s="527"/>
      <c r="S25" s="205">
        <f>B21</f>
        <v>2</v>
      </c>
      <c r="T25" s="287" t="e">
        <f>$A21</f>
        <v>#N/A</v>
      </c>
      <c r="U25" s="287">
        <v>5</v>
      </c>
      <c r="V25" s="287" t="e">
        <f>$A21</f>
        <v>#N/A</v>
      </c>
      <c r="W25" s="449"/>
      <c r="X25" s="307"/>
      <c r="Y25" s="307"/>
      <c r="Z25" s="307"/>
      <c r="AA25" s="307"/>
      <c r="AB25" s="307"/>
      <c r="AC25" s="307"/>
      <c r="AD25" s="450"/>
      <c r="AE25" s="450"/>
      <c r="AF25" s="450"/>
      <c r="AH25" s="231"/>
      <c r="AI25" s="231"/>
      <c r="AJ25" s="404">
        <v>54</v>
      </c>
      <c r="AK25" s="231"/>
    </row>
    <row r="26" spans="1:41" s="280" customFormat="1" ht="13.2" customHeight="1" x14ac:dyDescent="0.35">
      <c r="A26" s="529" t="e">
        <f>RANK(P26,$P$16:$P$40,0)</f>
        <v>#N/A</v>
      </c>
      <c r="B26" s="530">
        <v>3</v>
      </c>
      <c r="C26" s="531" t="e">
        <f>VLOOKUP(B26,Уч!$A$2:$L$34,2,FALSE)</f>
        <v>#N/A</v>
      </c>
      <c r="D26" s="532" t="e">
        <f>VLOOKUP(B26,Уч!$A$2:$L$34,3,FALSE)</f>
        <v>#N/A</v>
      </c>
      <c r="E26" s="536" t="s">
        <v>19</v>
      </c>
      <c r="F26" s="533" t="e">
        <f>VLOOKUP($B26,'100 м 1'!$C$18:$I$87,5,FALSE)</f>
        <v>#N/A</v>
      </c>
      <c r="G26" s="533" t="e">
        <f>VLOOKUP($B26,'длина 2 '!$C$16:$O$54,11,FALSE)</f>
        <v>#N/A</v>
      </c>
      <c r="H26" s="533" t="e">
        <f>VLOOKUP($B26,'ядро 2'!$C$16:$K$60,8,FALSE)</f>
        <v>#N/A</v>
      </c>
      <c r="I26" s="533" t="e">
        <f>VLOOKUP($B26,'высота 2'!$C$16:$AF$57,29,FALSE)</f>
        <v>#N/A</v>
      </c>
      <c r="J26" s="534" t="e">
        <f>VLOOKUP($B26,'4_р'!$C$17:$H$73,5,FALSE)</f>
        <v>#N/A</v>
      </c>
      <c r="K26" s="533" t="e">
        <f>VLOOKUP($B26,'1cб_р'!$C$17:$I$67,5,FALSE)</f>
        <v>#N/A</v>
      </c>
      <c r="L26" s="533" t="e">
        <f>VLOOKUP($B26,Дс_р!$C$16:$K$70,8,FALSE)</f>
        <v>#N/A</v>
      </c>
      <c r="M26" s="533" t="e">
        <f>VLOOKUP($B26,Ш_р!$C$15:$AF$69,29,FALSE)</f>
        <v>#N/A</v>
      </c>
      <c r="N26" s="533" t="e">
        <f>VLOOKUP($B26,К_р!$C$15:$K$68,8,FALSE)</f>
        <v>#N/A</v>
      </c>
      <c r="O26" s="530" t="s">
        <v>163</v>
      </c>
      <c r="P26" s="535" t="e">
        <f>SUM(F28:O28)</f>
        <v>#N/A</v>
      </c>
      <c r="Q26" s="529" t="e">
        <f>LOOKUP(P26,Y$1:AH$1,Y$2:AH$2)</f>
        <v>#N/A</v>
      </c>
      <c r="R26" s="530" t="e">
        <f>AH26+AI26+5</f>
        <v>#N/A</v>
      </c>
      <c r="S26" s="404">
        <f>B26</f>
        <v>3</v>
      </c>
      <c r="T26" s="287" t="e">
        <f>$A26</f>
        <v>#N/A</v>
      </c>
      <c r="U26" s="287">
        <v>1</v>
      </c>
      <c r="V26" s="287" t="s">
        <v>162</v>
      </c>
      <c r="W26" s="449"/>
      <c r="X26" s="307"/>
      <c r="Y26" s="307"/>
      <c r="Z26" s="307"/>
      <c r="AA26" s="307"/>
      <c r="AB26" s="307"/>
      <c r="AC26" s="307"/>
      <c r="AD26" s="450"/>
      <c r="AE26" s="450"/>
      <c r="AF26" s="450"/>
      <c r="AH26" s="280" t="e">
        <f>IF(AND(T26&gt;16,P26&gt;=6200),"1",LOOKUP(T26,Y$5:AO$5,Y$6:AO$6))</f>
        <v>#N/A</v>
      </c>
      <c r="AI26" s="280" t="e">
        <f>LOOKUP(Q26,Y$8:AD$8,Y$9:AD$9)</f>
        <v>#N/A</v>
      </c>
      <c r="AJ26" s="404">
        <v>55</v>
      </c>
      <c r="AK26" s="231"/>
    </row>
    <row r="27" spans="1:41" s="280" customFormat="1" ht="13.2" customHeight="1" x14ac:dyDescent="0.35">
      <c r="A27" s="231"/>
      <c r="B27" s="404"/>
      <c r="C27" s="451" t="e">
        <f>VLOOKUP(B26,Уч!$A$2:$L$34,5,FALSE)</f>
        <v>#N/A</v>
      </c>
      <c r="D27" s="452" t="e">
        <f>VLOOKUP(B26,Уч!$A$2:$L$34,4,FALSE)</f>
        <v>#N/A</v>
      </c>
      <c r="E27" s="509" t="s">
        <v>25</v>
      </c>
      <c r="F27" s="453" t="e">
        <f>VLOOKUP($B26,'100 м 1'!$C$18:$I$87,6,FALSE)</f>
        <v>#N/A</v>
      </c>
      <c r="G27" s="454" t="e">
        <f>VLOOKUP($B26,'длина 2 '!$C$16:$O$54,12,FALSE)</f>
        <v>#N/A</v>
      </c>
      <c r="H27" s="404"/>
      <c r="I27" s="454"/>
      <c r="J27" s="455"/>
      <c r="K27" s="454" t="e">
        <f>VLOOKUP($B26,'1cб_р'!$C$17:$I$67,6,FALSE)</f>
        <v>#N/A</v>
      </c>
      <c r="L27" s="454"/>
      <c r="M27" s="454"/>
      <c r="N27" s="404"/>
      <c r="O27" s="404"/>
      <c r="P27" s="448"/>
      <c r="Q27" s="456"/>
      <c r="R27" s="404" t="e">
        <f>CONCATENATE(AH26,"+",AI26,"+",5)</f>
        <v>#N/A</v>
      </c>
      <c r="S27" s="404">
        <f>B26</f>
        <v>3</v>
      </c>
      <c r="T27" s="287" t="e">
        <f>$A26</f>
        <v>#N/A</v>
      </c>
      <c r="U27" s="287">
        <v>2</v>
      </c>
      <c r="V27" s="287" t="s">
        <v>162</v>
      </c>
      <c r="W27" s="449"/>
      <c r="X27" s="307"/>
      <c r="Y27" s="307"/>
      <c r="Z27" s="307"/>
      <c r="AA27" s="307"/>
      <c r="AB27" s="307"/>
      <c r="AC27" s="307"/>
      <c r="AD27" s="450"/>
      <c r="AE27" s="450"/>
      <c r="AF27" s="450"/>
      <c r="AH27" s="231"/>
      <c r="AI27" s="231"/>
      <c r="AJ27" s="404">
        <v>55</v>
      </c>
      <c r="AK27" s="231"/>
    </row>
    <row r="28" spans="1:41" s="280" customFormat="1" ht="13.2" customHeight="1" x14ac:dyDescent="0.35">
      <c r="A28" s="231"/>
      <c r="B28" s="404"/>
      <c r="C28" s="457" t="e">
        <f>VLOOKUP(B26,Уч!$A$2:$L$34,7,FALSE)</f>
        <v>#N/A</v>
      </c>
      <c r="D28" s="452"/>
      <c r="E28" s="509" t="s">
        <v>29</v>
      </c>
      <c r="F28" s="458" t="e">
        <f>VLOOKUP($B26,'100 м 1'!$C$18:$I$87,7,FALSE)</f>
        <v>#N/A</v>
      </c>
      <c r="G28" s="404" t="e">
        <f>VLOOKUP($B26,'длина 2 '!$C$16:$O$54,13,FALSE)</f>
        <v>#N/A</v>
      </c>
      <c r="H28" s="404" t="e">
        <f>VLOOKUP($B26,'ядро 2'!$C$16:$K$60,9,FALSE)</f>
        <v>#N/A</v>
      </c>
      <c r="I28" s="404" t="e">
        <f>VLOOKUP($B26,'высота 2'!$C$16:$AF$57,30,)</f>
        <v>#N/A</v>
      </c>
      <c r="J28" s="459" t="e">
        <f>VLOOKUP($B26,'4_р'!$C$17:$H$73,6,FALSE)</f>
        <v>#N/A</v>
      </c>
      <c r="K28" s="404" t="e">
        <f>VLOOKUP($B26,'1cб_р'!$C$17:$I$67,7,FALSE)</f>
        <v>#N/A</v>
      </c>
      <c r="L28" s="404" t="e">
        <f>VLOOKUP($B26,Дс_р!$C$16:$K$70,9,FALSE)</f>
        <v>#N/A</v>
      </c>
      <c r="M28" s="404" t="e">
        <f>VLOOKUP($B26,Ш_р!$C$15:$AF$69,30,FALSE)</f>
        <v>#N/A</v>
      </c>
      <c r="N28" s="404" t="e">
        <f>VLOOKUP($B26,К_р!$C$15:$K$68,9,FALSE)</f>
        <v>#N/A</v>
      </c>
      <c r="O28" s="404" t="e">
        <f>VLOOKUP($B26,'15_р'!$C$17:$H$86,6,FALSE)</f>
        <v>#N/A</v>
      </c>
      <c r="P28" s="448"/>
      <c r="Q28" s="468"/>
      <c r="R28" s="372"/>
      <c r="S28" s="404">
        <f>B26</f>
        <v>3</v>
      </c>
      <c r="T28" s="287" t="e">
        <f>$A26</f>
        <v>#N/A</v>
      </c>
      <c r="U28" s="287">
        <v>3</v>
      </c>
      <c r="V28" s="287" t="s">
        <v>162</v>
      </c>
      <c r="W28" s="449"/>
      <c r="X28" s="307"/>
      <c r="Y28" s="307"/>
      <c r="Z28" s="307"/>
      <c r="AA28" s="307"/>
      <c r="AB28" s="307"/>
      <c r="AC28" s="307"/>
      <c r="AD28" s="450"/>
      <c r="AE28" s="450"/>
      <c r="AF28" s="450"/>
      <c r="AH28" s="231"/>
      <c r="AI28" s="231"/>
      <c r="AJ28" s="404">
        <v>55</v>
      </c>
      <c r="AK28" s="231"/>
    </row>
    <row r="29" spans="1:41" s="280" customFormat="1" ht="13.2" customHeight="1" x14ac:dyDescent="0.35">
      <c r="A29" s="231"/>
      <c r="B29" s="404"/>
      <c r="C29" s="451" t="e">
        <f>VLOOKUP(B26,Уч!$A$2:$L$34,11,FALSE)</f>
        <v>#N/A</v>
      </c>
      <c r="D29" s="452"/>
      <c r="E29" s="509" t="s">
        <v>276</v>
      </c>
      <c r="F29" s="458" t="e">
        <f>F28</f>
        <v>#N/A</v>
      </c>
      <c r="G29" s="404" t="e">
        <f>F29+G28</f>
        <v>#N/A</v>
      </c>
      <c r="H29" s="404" t="e">
        <f>G29+H28</f>
        <v>#N/A</v>
      </c>
      <c r="I29" s="404" t="e">
        <f>H29+I28</f>
        <v>#N/A</v>
      </c>
      <c r="J29" s="459" t="e">
        <f>SUM($F28:J28)</f>
        <v>#N/A</v>
      </c>
      <c r="K29" s="404" t="e">
        <f>SUM($F28:$K28)</f>
        <v>#N/A</v>
      </c>
      <c r="L29" s="404" t="e">
        <f>K29+L28</f>
        <v>#N/A</v>
      </c>
      <c r="M29" s="404" t="e">
        <f>L29+M28</f>
        <v>#N/A</v>
      </c>
      <c r="N29" s="404" t="e">
        <f>SUM($F28:$N28)</f>
        <v>#N/A</v>
      </c>
      <c r="O29" s="404" t="e">
        <f>SUM($F28:$O28)</f>
        <v>#N/A</v>
      </c>
      <c r="P29" s="448"/>
      <c r="Q29" s="456"/>
      <c r="R29" s="372"/>
      <c r="S29" s="404">
        <f>B26</f>
        <v>3</v>
      </c>
      <c r="T29" s="287" t="e">
        <f>$A26</f>
        <v>#N/A</v>
      </c>
      <c r="U29" s="287">
        <v>4</v>
      </c>
      <c r="V29" s="287" t="s">
        <v>162</v>
      </c>
      <c r="W29" s="372" t="e">
        <f t="shared" ref="W29:AF29" si="2">F29</f>
        <v>#N/A</v>
      </c>
      <c r="X29" s="372" t="e">
        <f t="shared" si="2"/>
        <v>#N/A</v>
      </c>
      <c r="Y29" s="372" t="e">
        <f t="shared" si="2"/>
        <v>#N/A</v>
      </c>
      <c r="Z29" s="372" t="e">
        <f t="shared" si="2"/>
        <v>#N/A</v>
      </c>
      <c r="AA29" s="372" t="e">
        <f t="shared" si="2"/>
        <v>#N/A</v>
      </c>
      <c r="AB29" s="372" t="e">
        <f t="shared" si="2"/>
        <v>#N/A</v>
      </c>
      <c r="AC29" s="372" t="e">
        <f t="shared" si="2"/>
        <v>#N/A</v>
      </c>
      <c r="AD29" s="372" t="e">
        <f t="shared" si="2"/>
        <v>#N/A</v>
      </c>
      <c r="AE29" s="372" t="e">
        <f t="shared" si="2"/>
        <v>#N/A</v>
      </c>
      <c r="AF29" s="372" t="e">
        <f t="shared" si="2"/>
        <v>#N/A</v>
      </c>
      <c r="AH29" s="231"/>
      <c r="AI29" s="231"/>
      <c r="AJ29" s="404">
        <v>55</v>
      </c>
      <c r="AK29" s="231"/>
    </row>
    <row r="30" spans="1:41" s="280" customFormat="1" ht="13.2" customHeight="1" x14ac:dyDescent="0.25">
      <c r="A30" s="522"/>
      <c r="B30" s="523"/>
      <c r="C30" s="524" t="e">
        <f>VLOOKUP(B26,Уч!$A$2:$L$34,12,FALSE)</f>
        <v>#N/A</v>
      </c>
      <c r="D30" s="525"/>
      <c r="E30" s="509" t="s">
        <v>59</v>
      </c>
      <c r="F30" s="458" t="e">
        <f>RANK(F29,$W$19:$W$40,0)</f>
        <v>#N/A</v>
      </c>
      <c r="G30" s="523" t="e">
        <f>RANK(G29,$X$19:$X$40,0)</f>
        <v>#N/A</v>
      </c>
      <c r="H30" s="523" t="e">
        <f>RANK(H29,$Y$19:$Y$40,0)</f>
        <v>#N/A</v>
      </c>
      <c r="I30" s="523" t="e">
        <f>RANK(I29,$Z$19:$Z$40,0)</f>
        <v>#N/A</v>
      </c>
      <c r="J30" s="526" t="e">
        <f>RANK(J29,$AA$19:$AA$40,0)</f>
        <v>#N/A</v>
      </c>
      <c r="K30" s="523" t="e">
        <f>RANK(K29,$AB$19:$AB$40,0)</f>
        <v>#N/A</v>
      </c>
      <c r="L30" s="523" t="e">
        <f>RANK(L29,$AC$19:$AC$40,0)</f>
        <v>#N/A</v>
      </c>
      <c r="M30" s="523" t="e">
        <f>RANK(M29,$AD$19:$AD$40,0)</f>
        <v>#N/A</v>
      </c>
      <c r="N30" s="523" t="e">
        <f>RANK(N29,$AE$19:$AE$40,0)</f>
        <v>#N/A</v>
      </c>
      <c r="O30" s="523" t="e">
        <f>RANK(O29,$AF$19:$AF$40,0)</f>
        <v>#N/A</v>
      </c>
      <c r="P30" s="448"/>
      <c r="Q30" s="527"/>
      <c r="R30" s="527"/>
      <c r="S30" s="404">
        <f>B26</f>
        <v>3</v>
      </c>
      <c r="T30" s="287" t="e">
        <f>$A26</f>
        <v>#N/A</v>
      </c>
      <c r="U30" s="287">
        <v>5</v>
      </c>
      <c r="V30" s="287" t="s">
        <v>162</v>
      </c>
      <c r="W30" s="449"/>
      <c r="X30" s="307"/>
      <c r="Y30" s="307"/>
      <c r="Z30" s="307"/>
      <c r="AA30" s="307"/>
      <c r="AB30" s="307"/>
      <c r="AC30" s="307"/>
      <c r="AD30" s="450"/>
      <c r="AE30" s="450"/>
      <c r="AF30" s="450"/>
      <c r="AJ30" s="404">
        <v>55</v>
      </c>
      <c r="AK30" s="231"/>
    </row>
    <row r="31" spans="1:41" s="280" customFormat="1" ht="13.2" customHeight="1" x14ac:dyDescent="0.35">
      <c r="A31" s="529" t="e">
        <f>RANK(P31,$P$16:$P$40,0)</f>
        <v>#N/A</v>
      </c>
      <c r="B31" s="530">
        <v>4</v>
      </c>
      <c r="C31" s="531" t="e">
        <f>VLOOKUP(B31,Уч!$A$2:$L$34,2,FALSE)</f>
        <v>#N/A</v>
      </c>
      <c r="D31" s="532" t="e">
        <f>VLOOKUP(B31,Уч!$A$2:$L$34,3,FALSE)</f>
        <v>#N/A</v>
      </c>
      <c r="E31" s="536" t="s">
        <v>19</v>
      </c>
      <c r="F31" s="533" t="e">
        <f>VLOOKUP($B31,'100 м 1'!$C$18:$I$87,5,FALSE)</f>
        <v>#N/A</v>
      </c>
      <c r="G31" s="533" t="e">
        <f>VLOOKUP($B31,'длина 2 '!$C$16:$O$54,11,FALSE)</f>
        <v>#N/A</v>
      </c>
      <c r="H31" s="533" t="e">
        <f>VLOOKUP($B31,'ядро 2'!$C$16:$K$60,8,FALSE)</f>
        <v>#N/A</v>
      </c>
      <c r="I31" s="533" t="e">
        <f>VLOOKUP($B31,'высота 2'!$C$16:$AF$57,29,FALSE)</f>
        <v>#N/A</v>
      </c>
      <c r="J31" s="534" t="e">
        <f>VLOOKUP($B31,'4_р'!$C$17:$H$73,5,FALSE)</f>
        <v>#N/A</v>
      </c>
      <c r="K31" s="533" t="e">
        <f>VLOOKUP($B31,'1cб_р'!$C$17:$I$67,5,FALSE)</f>
        <v>#N/A</v>
      </c>
      <c r="L31" s="533" t="e">
        <f>VLOOKUP($B31,Дс_р!$C$16:$K$70,8,FALSE)</f>
        <v>#N/A</v>
      </c>
      <c r="M31" s="533" t="e">
        <f>VLOOKUP($B31,Ш_р!$C$15:$AF$69,29,FALSE)</f>
        <v>#N/A</v>
      </c>
      <c r="N31" s="533" t="e">
        <f>VLOOKUP($B31,К_р!$C$15:$K$68,8,FALSE)</f>
        <v>#N/A</v>
      </c>
      <c r="O31" s="530" t="e">
        <f>VLOOKUP($B31,'15_р'!$C$17:$H$86,5,FALSE)</f>
        <v>#N/A</v>
      </c>
      <c r="P31" s="535" t="e">
        <f>SUM(F33:O33)</f>
        <v>#N/A</v>
      </c>
      <c r="Q31" s="529" t="e">
        <f>LOOKUP(P31,Y$1:AH$1,Y$2:AH$2)</f>
        <v>#N/A</v>
      </c>
      <c r="R31" s="530" t="e">
        <f>AH31+AI31+5</f>
        <v>#N/A</v>
      </c>
      <c r="S31" s="404">
        <f>B31</f>
        <v>4</v>
      </c>
      <c r="T31" s="287" t="e">
        <f>$A31</f>
        <v>#N/A</v>
      </c>
      <c r="U31" s="287">
        <v>1</v>
      </c>
      <c r="V31" s="287" t="e">
        <f>$A31</f>
        <v>#N/A</v>
      </c>
      <c r="W31" s="449"/>
      <c r="X31" s="307"/>
      <c r="Y31" s="307"/>
      <c r="Z31" s="307"/>
      <c r="AA31" s="307"/>
      <c r="AB31" s="307"/>
      <c r="AC31" s="307"/>
      <c r="AD31" s="450"/>
      <c r="AE31" s="450"/>
      <c r="AF31" s="450"/>
      <c r="AH31" s="280" t="e">
        <f>IF(AND(T31&gt;16,P31&gt;=6200),"1",LOOKUP(T31,Y$5:AO$5,Y$6:AO$6))</f>
        <v>#N/A</v>
      </c>
      <c r="AI31" s="280" t="e">
        <f>LOOKUP(Q31,Y$8:AD$8,Y$9:AD$9)</f>
        <v>#N/A</v>
      </c>
      <c r="AJ31" s="404">
        <v>63</v>
      </c>
      <c r="AK31" s="231"/>
    </row>
    <row r="32" spans="1:41" s="280" customFormat="1" ht="13.2" customHeight="1" x14ac:dyDescent="0.35">
      <c r="A32" s="231"/>
      <c r="B32" s="404"/>
      <c r="C32" s="451" t="e">
        <f>VLOOKUP(B31,Уч!$A$2:$L$34,5,FALSE)</f>
        <v>#N/A</v>
      </c>
      <c r="D32" s="444" t="e">
        <f>VLOOKUP(B31,Уч!$A$2:$L$34,4,FALSE)</f>
        <v>#N/A</v>
      </c>
      <c r="E32" s="509" t="s">
        <v>25</v>
      </c>
      <c r="F32" s="453" t="e">
        <f>VLOOKUP($B31,'100 м 1'!$C$18:$I$87,6,FALSE)</f>
        <v>#N/A</v>
      </c>
      <c r="G32" s="454" t="e">
        <f>VLOOKUP($B31,'длина 2 '!$C$16:$O$54,12,FALSE)</f>
        <v>#N/A</v>
      </c>
      <c r="H32" s="404"/>
      <c r="I32" s="454"/>
      <c r="J32" s="455"/>
      <c r="K32" s="454" t="e">
        <f>VLOOKUP($B31,'1cб_р'!$C$17:$I$67,6,FALSE)</f>
        <v>#N/A</v>
      </c>
      <c r="L32" s="454"/>
      <c r="M32" s="454"/>
      <c r="N32" s="404"/>
      <c r="O32" s="404"/>
      <c r="P32" s="448"/>
      <c r="Q32" s="456"/>
      <c r="R32" s="404" t="e">
        <f>CONCATENATE(AH31,"+",AI31,"+",5)</f>
        <v>#N/A</v>
      </c>
      <c r="S32" s="404">
        <f>B31</f>
        <v>4</v>
      </c>
      <c r="T32" s="287" t="e">
        <f>$A31</f>
        <v>#N/A</v>
      </c>
      <c r="U32" s="287">
        <v>2</v>
      </c>
      <c r="V32" s="287" t="e">
        <f>$A31</f>
        <v>#N/A</v>
      </c>
      <c r="W32" s="449"/>
      <c r="X32" s="307"/>
      <c r="Y32" s="307"/>
      <c r="Z32" s="307"/>
      <c r="AA32" s="307"/>
      <c r="AB32" s="307"/>
      <c r="AC32" s="307"/>
      <c r="AD32" s="450"/>
      <c r="AE32" s="450"/>
      <c r="AF32" s="450"/>
      <c r="AH32" s="231"/>
      <c r="AI32" s="231"/>
      <c r="AJ32" s="404">
        <v>63</v>
      </c>
      <c r="AK32" s="231"/>
    </row>
    <row r="33" spans="1:37" s="280" customFormat="1" ht="13.2" customHeight="1" x14ac:dyDescent="0.35">
      <c r="A33" s="231"/>
      <c r="B33" s="404"/>
      <c r="C33" s="457" t="e">
        <f>VLOOKUP(B31,Уч!$A$2:$L$34,7,FALSE)</f>
        <v>#N/A</v>
      </c>
      <c r="D33" s="444"/>
      <c r="E33" s="509" t="s">
        <v>29</v>
      </c>
      <c r="F33" s="458" t="e">
        <f>VLOOKUP($B31,'100 м 1'!$C$18:$I$87,7,FALSE)</f>
        <v>#N/A</v>
      </c>
      <c r="G33" s="404" t="e">
        <f>VLOOKUP($B31,'длина 2 '!$C$16:$O$54,13,FALSE)</f>
        <v>#N/A</v>
      </c>
      <c r="H33" s="404" t="e">
        <f>VLOOKUP($B31,'ядро 2'!$C$16:$K$60,9,FALSE)</f>
        <v>#N/A</v>
      </c>
      <c r="I33" s="404" t="e">
        <f>VLOOKUP($B31,'высота 2'!$C$16:$AF$57,30,)</f>
        <v>#N/A</v>
      </c>
      <c r="J33" s="459" t="e">
        <f>VLOOKUP($B31,'4_р'!$C$17:$H$73,6,FALSE)</f>
        <v>#N/A</v>
      </c>
      <c r="K33" s="404" t="e">
        <f>VLOOKUP($B31,'1cб_р'!$C$17:$I$67,7,FALSE)</f>
        <v>#N/A</v>
      </c>
      <c r="L33" s="404" t="e">
        <f>VLOOKUP($B31,Дс_р!$C$16:$K$70,9,FALSE)</f>
        <v>#N/A</v>
      </c>
      <c r="M33" s="404" t="e">
        <f>VLOOKUP($B31,Ш_р!$C$15:$AF$69,30,FALSE)</f>
        <v>#N/A</v>
      </c>
      <c r="N33" s="404" t="e">
        <f>VLOOKUP($B31,К_р!$C$15:$K$68,9,FALSE)</f>
        <v>#N/A</v>
      </c>
      <c r="O33" s="404" t="e">
        <f>VLOOKUP($B31,'15_р'!$C$17:$H$86,6,FALSE)</f>
        <v>#N/A</v>
      </c>
      <c r="P33" s="448"/>
      <c r="Q33" s="456"/>
      <c r="R33" s="372"/>
      <c r="S33" s="404">
        <f>B31</f>
        <v>4</v>
      </c>
      <c r="T33" s="287" t="e">
        <f>$A31</f>
        <v>#N/A</v>
      </c>
      <c r="U33" s="287">
        <v>3</v>
      </c>
      <c r="V33" s="287" t="e">
        <f>$A31</f>
        <v>#N/A</v>
      </c>
      <c r="W33" s="449"/>
      <c r="X33" s="307"/>
      <c r="Y33" s="307"/>
      <c r="Z33" s="307"/>
      <c r="AA33" s="307"/>
      <c r="AB33" s="307"/>
      <c r="AC33" s="307"/>
      <c r="AD33" s="450"/>
      <c r="AE33" s="450"/>
      <c r="AF33" s="450"/>
      <c r="AH33" s="231"/>
      <c r="AI33" s="231"/>
      <c r="AJ33" s="404">
        <v>63</v>
      </c>
      <c r="AK33" s="231"/>
    </row>
    <row r="34" spans="1:37" s="280" customFormat="1" ht="13.2" customHeight="1" x14ac:dyDescent="0.35">
      <c r="A34" s="231"/>
      <c r="B34" s="404"/>
      <c r="C34" s="451" t="e">
        <f>VLOOKUP(B31,Уч!$A$2:$L$34,11,FALSE)</f>
        <v>#N/A</v>
      </c>
      <c r="D34" s="444"/>
      <c r="E34" s="509" t="s">
        <v>276</v>
      </c>
      <c r="F34" s="458" t="e">
        <f>F33</f>
        <v>#N/A</v>
      </c>
      <c r="G34" s="404" t="e">
        <f>F34+G33</f>
        <v>#N/A</v>
      </c>
      <c r="H34" s="404" t="e">
        <f>G34+H33</f>
        <v>#N/A</v>
      </c>
      <c r="I34" s="404" t="e">
        <f>H34+I33</f>
        <v>#N/A</v>
      </c>
      <c r="J34" s="459" t="e">
        <f>SUM($F33:J33)</f>
        <v>#N/A</v>
      </c>
      <c r="K34" s="404" t="e">
        <f>SUM($F33:$K33)</f>
        <v>#N/A</v>
      </c>
      <c r="L34" s="404" t="e">
        <f>K34+L33</f>
        <v>#N/A</v>
      </c>
      <c r="M34" s="404" t="e">
        <f>L34+M33</f>
        <v>#N/A</v>
      </c>
      <c r="N34" s="404" t="e">
        <f>SUM($F33:$N33)</f>
        <v>#N/A</v>
      </c>
      <c r="O34" s="404" t="e">
        <f>SUM($F33:$O33)</f>
        <v>#N/A</v>
      </c>
      <c r="P34" s="448"/>
      <c r="Q34" s="456"/>
      <c r="R34" s="372"/>
      <c r="S34" s="404">
        <f>B31</f>
        <v>4</v>
      </c>
      <c r="T34" s="287" t="e">
        <f>$A31</f>
        <v>#N/A</v>
      </c>
      <c r="U34" s="287">
        <v>4</v>
      </c>
      <c r="V34" s="287" t="e">
        <f>$A31</f>
        <v>#N/A</v>
      </c>
      <c r="W34" s="372" t="e">
        <f t="shared" ref="W34:AF34" si="3">F34</f>
        <v>#N/A</v>
      </c>
      <c r="X34" s="372" t="e">
        <f t="shared" si="3"/>
        <v>#N/A</v>
      </c>
      <c r="Y34" s="372" t="e">
        <f t="shared" si="3"/>
        <v>#N/A</v>
      </c>
      <c r="Z34" s="372" t="e">
        <f t="shared" si="3"/>
        <v>#N/A</v>
      </c>
      <c r="AA34" s="372" t="e">
        <f t="shared" si="3"/>
        <v>#N/A</v>
      </c>
      <c r="AB34" s="372" t="e">
        <f t="shared" si="3"/>
        <v>#N/A</v>
      </c>
      <c r="AC34" s="372" t="e">
        <f t="shared" si="3"/>
        <v>#N/A</v>
      </c>
      <c r="AD34" s="372" t="e">
        <f t="shared" si="3"/>
        <v>#N/A</v>
      </c>
      <c r="AE34" s="372" t="e">
        <f t="shared" si="3"/>
        <v>#N/A</v>
      </c>
      <c r="AF34" s="372" t="e">
        <f t="shared" si="3"/>
        <v>#N/A</v>
      </c>
      <c r="AH34" s="231"/>
      <c r="AI34" s="231"/>
      <c r="AJ34" s="404">
        <v>63</v>
      </c>
      <c r="AK34" s="231"/>
    </row>
    <row r="35" spans="1:37" s="280" customFormat="1" ht="13.2" customHeight="1" x14ac:dyDescent="0.25">
      <c r="A35" s="522"/>
      <c r="B35" s="523"/>
      <c r="C35" s="524" t="e">
        <f>VLOOKUP(B31,Уч!$A$2:$L$34,12,FALSE)</f>
        <v>#N/A</v>
      </c>
      <c r="D35" s="528"/>
      <c r="E35" s="509" t="s">
        <v>59</v>
      </c>
      <c r="F35" s="458" t="e">
        <f>RANK(F34,$W$19:$W$40,0)</f>
        <v>#N/A</v>
      </c>
      <c r="G35" s="523" t="e">
        <f>RANK(G34,$X$19:$X$40,0)</f>
        <v>#N/A</v>
      </c>
      <c r="H35" s="523" t="e">
        <f>RANK(H34,$Y$19:$Y$40,0)</f>
        <v>#N/A</v>
      </c>
      <c r="I35" s="523" t="e">
        <f>RANK(I34,$Z$19:$Z$40,0)</f>
        <v>#N/A</v>
      </c>
      <c r="J35" s="526" t="e">
        <f>RANK(J34,$AA$19:$AA$40,0)</f>
        <v>#N/A</v>
      </c>
      <c r="K35" s="523" t="e">
        <f>RANK(K34,$AB$19:$AB$40,0)</f>
        <v>#N/A</v>
      </c>
      <c r="L35" s="523" t="e">
        <f>RANK(L34,$AC$19:$AC$40,0)</f>
        <v>#N/A</v>
      </c>
      <c r="M35" s="523" t="e">
        <f>RANK(M34,$AD$19:$AD$40,0)</f>
        <v>#N/A</v>
      </c>
      <c r="N35" s="523" t="e">
        <f>RANK(N34,$AE$19:$AE$40,0)</f>
        <v>#N/A</v>
      </c>
      <c r="O35" s="523" t="e">
        <f>RANK(O34,$AF$19:$AF$40,0)</f>
        <v>#N/A</v>
      </c>
      <c r="P35" s="448"/>
      <c r="Q35" s="527"/>
      <c r="R35" s="527"/>
      <c r="S35" s="205">
        <f>B31</f>
        <v>4</v>
      </c>
      <c r="T35" s="287" t="e">
        <f>$A31</f>
        <v>#N/A</v>
      </c>
      <c r="U35" s="287">
        <v>5</v>
      </c>
      <c r="V35" s="287" t="e">
        <f>$A31</f>
        <v>#N/A</v>
      </c>
      <c r="W35" s="449"/>
      <c r="X35" s="307"/>
      <c r="Y35" s="307"/>
      <c r="Z35" s="307"/>
      <c r="AA35" s="307"/>
      <c r="AB35" s="307"/>
      <c r="AC35" s="307"/>
      <c r="AD35" s="450"/>
      <c r="AE35" s="450"/>
      <c r="AF35" s="450"/>
      <c r="AH35" s="231"/>
      <c r="AI35" s="231"/>
      <c r="AJ35" s="404">
        <v>63</v>
      </c>
      <c r="AK35" s="231"/>
    </row>
    <row r="36" spans="1:37" s="280" customFormat="1" ht="13.2" customHeight="1" x14ac:dyDescent="0.35">
      <c r="A36" s="529" t="e">
        <f>RANK(P36,$P$16:$P$40,0)</f>
        <v>#N/A</v>
      </c>
      <c r="B36" s="530">
        <v>5</v>
      </c>
      <c r="C36" s="531" t="e">
        <f>VLOOKUP(B36,Уч!$A$2:$L$34,2,FALSE)</f>
        <v>#N/A</v>
      </c>
      <c r="D36" s="532" t="e">
        <f>VLOOKUP(B36,Уч!$A$2:$L$34,3,FALSE)</f>
        <v>#N/A</v>
      </c>
      <c r="E36" s="536" t="s">
        <v>19</v>
      </c>
      <c r="F36" s="533" t="e">
        <f>VLOOKUP($B36,'100 м 1'!$C$18:$I$87,5,FALSE)</f>
        <v>#N/A</v>
      </c>
      <c r="G36" s="533" t="e">
        <f>VLOOKUP($B36,'длина 2 '!$C$16:$O$54,11,FALSE)</f>
        <v>#N/A</v>
      </c>
      <c r="H36" s="533" t="e">
        <f>VLOOKUP($B36,'ядро 2'!$C$16:$K$60,8,FALSE)</f>
        <v>#N/A</v>
      </c>
      <c r="I36" s="533" t="e">
        <f>VLOOKUP($B36,'высота 2'!$C$16:$AF$57,29,FALSE)</f>
        <v>#N/A</v>
      </c>
      <c r="J36" s="534" t="e">
        <f>VLOOKUP($B36,'4_р'!$C$17:$H$73,5,FALSE)</f>
        <v>#N/A</v>
      </c>
      <c r="K36" s="533" t="e">
        <f>VLOOKUP($B36,'1cб_р'!$C$17:$I$67,5,FALSE)</f>
        <v>#N/A</v>
      </c>
      <c r="L36" s="533" t="e">
        <f>VLOOKUP($B36,Дс_р!$C$16:$K$70,8,FALSE)</f>
        <v>#N/A</v>
      </c>
      <c r="M36" s="533" t="e">
        <f>VLOOKUP($B36,Ш_р!$C$15:$AF$69,29,FALSE)</f>
        <v>#N/A</v>
      </c>
      <c r="N36" s="533" t="e">
        <f>VLOOKUP($B36,К_р!$C$15:$K$68,8,FALSE)</f>
        <v>#N/A</v>
      </c>
      <c r="O36" s="530" t="e">
        <f>VLOOKUP($B36,'15_р'!$C$17:$H$86,5,FALSE)</f>
        <v>#N/A</v>
      </c>
      <c r="P36" s="535" t="e">
        <f>SUM(F38:O38)</f>
        <v>#N/A</v>
      </c>
      <c r="Q36" s="529" t="e">
        <f>LOOKUP(P36,Y$1:AH$1,Y$2:AH$2)</f>
        <v>#N/A</v>
      </c>
      <c r="R36" s="530" t="e">
        <f>AH36+AI36+5</f>
        <v>#N/A</v>
      </c>
      <c r="S36" s="404">
        <f>B36</f>
        <v>5</v>
      </c>
      <c r="T36" s="287" t="e">
        <f>$A36</f>
        <v>#N/A</v>
      </c>
      <c r="U36" s="287">
        <v>1</v>
      </c>
      <c r="V36" s="287" t="e">
        <f>$A36</f>
        <v>#N/A</v>
      </c>
      <c r="W36" s="449"/>
      <c r="X36" s="307"/>
      <c r="Y36" s="307"/>
      <c r="Z36" s="307"/>
      <c r="AA36" s="307"/>
      <c r="AB36" s="307"/>
      <c r="AC36" s="307"/>
      <c r="AD36" s="450"/>
      <c r="AE36" s="450"/>
      <c r="AF36" s="450"/>
      <c r="AH36" s="280" t="e">
        <f>IF(AND(T36&gt;16,P36&gt;=6200),"1",LOOKUP(T36,Y$5:AO$5,Y$6:AO$6))</f>
        <v>#N/A</v>
      </c>
      <c r="AI36" s="280" t="e">
        <f>LOOKUP(Q36,Y$8:AD$8,Y$9:AD$9)</f>
        <v>#N/A</v>
      </c>
      <c r="AJ36" s="404">
        <v>96</v>
      </c>
    </row>
    <row r="37" spans="1:37" s="280" customFormat="1" ht="13.2" customHeight="1" x14ac:dyDescent="0.35">
      <c r="A37" s="231"/>
      <c r="B37" s="404"/>
      <c r="C37" s="451" t="e">
        <f>VLOOKUP(B36,Уч!$A$2:$L$34,5,FALSE)</f>
        <v>#N/A</v>
      </c>
      <c r="D37" s="444" t="e">
        <f>VLOOKUP(B36,Уч!$A$2:$L$34,4,FALSE)</f>
        <v>#N/A</v>
      </c>
      <c r="E37" s="509" t="s">
        <v>25</v>
      </c>
      <c r="F37" s="453" t="e">
        <f>VLOOKUP($B36,'100 м 1'!$C$18:$I$87,6,FALSE)</f>
        <v>#N/A</v>
      </c>
      <c r="G37" s="454" t="e">
        <f>VLOOKUP($B36,'длина 2 '!$C$16:$O$54,12,FALSE)</f>
        <v>#N/A</v>
      </c>
      <c r="H37" s="404"/>
      <c r="I37" s="454"/>
      <c r="J37" s="455"/>
      <c r="K37" s="454" t="e">
        <f>VLOOKUP($B36,'1cб_р'!$C$17:$I$67,6,FALSE)</f>
        <v>#N/A</v>
      </c>
      <c r="L37" s="454"/>
      <c r="M37" s="454"/>
      <c r="N37" s="404"/>
      <c r="O37" s="404"/>
      <c r="P37" s="448"/>
      <c r="Q37" s="456"/>
      <c r="R37" s="404" t="e">
        <f>CONCATENATE(AH36,"+",AI36,"+",5)</f>
        <v>#N/A</v>
      </c>
      <c r="S37" s="404">
        <f>B36</f>
        <v>5</v>
      </c>
      <c r="T37" s="287" t="e">
        <f>$A36</f>
        <v>#N/A</v>
      </c>
      <c r="U37" s="287">
        <v>2</v>
      </c>
      <c r="V37" s="287" t="e">
        <f>$A36</f>
        <v>#N/A</v>
      </c>
      <c r="W37" s="449"/>
      <c r="X37" s="307"/>
      <c r="Y37" s="307"/>
      <c r="Z37" s="307"/>
      <c r="AA37" s="307"/>
      <c r="AB37" s="307"/>
      <c r="AC37" s="307"/>
      <c r="AD37" s="450"/>
      <c r="AE37" s="450"/>
      <c r="AF37" s="450"/>
      <c r="AH37" s="231"/>
      <c r="AI37" s="231"/>
      <c r="AJ37" s="404">
        <v>96</v>
      </c>
      <c r="AK37" s="231"/>
    </row>
    <row r="38" spans="1:37" s="280" customFormat="1" ht="13.2" customHeight="1" x14ac:dyDescent="0.35">
      <c r="A38" s="231"/>
      <c r="B38" s="404"/>
      <c r="C38" s="457" t="e">
        <f>VLOOKUP(B36,Уч!$A$2:$L$34,7,FALSE)</f>
        <v>#N/A</v>
      </c>
      <c r="D38" s="444"/>
      <c r="E38" s="509" t="s">
        <v>29</v>
      </c>
      <c r="F38" s="458" t="e">
        <f>VLOOKUP($B36,'100 м 1'!$C$18:$I$87,7,FALSE)</f>
        <v>#N/A</v>
      </c>
      <c r="G38" s="404" t="e">
        <f>VLOOKUP($B36,'длина 2 '!$C$16:$O$54,13,FALSE)</f>
        <v>#N/A</v>
      </c>
      <c r="H38" s="404" t="e">
        <f>VLOOKUP($B36,'ядро 2'!$C$16:$K$60,9,FALSE)</f>
        <v>#N/A</v>
      </c>
      <c r="I38" s="404" t="e">
        <f>VLOOKUP($B36,'высота 2'!$C$16:$AF$57,30,)</f>
        <v>#N/A</v>
      </c>
      <c r="J38" s="459" t="e">
        <f>VLOOKUP($B36,'4_р'!$C$17:$H$73,6,FALSE)</f>
        <v>#N/A</v>
      </c>
      <c r="K38" s="404" t="e">
        <f>VLOOKUP($B36,'1cб_р'!$C$17:$I$67,7,FALSE)</f>
        <v>#N/A</v>
      </c>
      <c r="L38" s="404" t="e">
        <f>VLOOKUP($B36,Дс_р!$C$16:$K$70,9,FALSE)</f>
        <v>#N/A</v>
      </c>
      <c r="M38" s="404" t="e">
        <f>VLOOKUP($B36,Ш_р!$C$15:$AF$69,30,FALSE)</f>
        <v>#N/A</v>
      </c>
      <c r="N38" s="404" t="e">
        <f>VLOOKUP($B36,К_р!$C$15:$K$68,9,FALSE)</f>
        <v>#N/A</v>
      </c>
      <c r="O38" s="404" t="e">
        <f>VLOOKUP($B36,'15_р'!$C$17:$H$86,6,FALSE)</f>
        <v>#N/A</v>
      </c>
      <c r="P38" s="448"/>
      <c r="Q38" s="456"/>
      <c r="R38" s="372"/>
      <c r="S38" s="404">
        <f>B36</f>
        <v>5</v>
      </c>
      <c r="T38" s="287" t="e">
        <f>$A36</f>
        <v>#N/A</v>
      </c>
      <c r="U38" s="287">
        <v>3</v>
      </c>
      <c r="V38" s="287" t="e">
        <f>$A36</f>
        <v>#N/A</v>
      </c>
      <c r="W38" s="449"/>
      <c r="X38" s="307"/>
      <c r="Y38" s="307"/>
      <c r="Z38" s="307"/>
      <c r="AA38" s="307"/>
      <c r="AB38" s="307"/>
      <c r="AC38" s="307"/>
      <c r="AD38" s="450"/>
      <c r="AE38" s="450"/>
      <c r="AF38" s="450"/>
      <c r="AH38" s="231"/>
      <c r="AI38" s="231"/>
      <c r="AJ38" s="404">
        <v>96</v>
      </c>
      <c r="AK38" s="231"/>
    </row>
    <row r="39" spans="1:37" s="280" customFormat="1" ht="13.2" customHeight="1" x14ac:dyDescent="0.35">
      <c r="A39" s="231"/>
      <c r="B39" s="404"/>
      <c r="C39" s="451" t="e">
        <f>VLOOKUP(B36,Уч!$A$2:$L$34,11,FALSE)</f>
        <v>#N/A</v>
      </c>
      <c r="D39" s="444"/>
      <c r="E39" s="509" t="s">
        <v>276</v>
      </c>
      <c r="F39" s="458" t="e">
        <f>F38</f>
        <v>#N/A</v>
      </c>
      <c r="G39" s="404" t="e">
        <f>F39+G38</f>
        <v>#N/A</v>
      </c>
      <c r="H39" s="404" t="e">
        <f>G39+H38</f>
        <v>#N/A</v>
      </c>
      <c r="I39" s="404" t="e">
        <f>H39+I38</f>
        <v>#N/A</v>
      </c>
      <c r="J39" s="459" t="e">
        <f>SUM($F38:J38)</f>
        <v>#N/A</v>
      </c>
      <c r="K39" s="404" t="e">
        <f>SUM($F38:$K38)</f>
        <v>#N/A</v>
      </c>
      <c r="L39" s="404" t="e">
        <f>K39+L38</f>
        <v>#N/A</v>
      </c>
      <c r="M39" s="404" t="e">
        <f>L39+M38</f>
        <v>#N/A</v>
      </c>
      <c r="N39" s="404" t="e">
        <f>SUM($F38:$N38)</f>
        <v>#N/A</v>
      </c>
      <c r="O39" s="404" t="e">
        <f>SUM($F38:$O38)</f>
        <v>#N/A</v>
      </c>
      <c r="P39" s="448"/>
      <c r="Q39" s="456"/>
      <c r="R39" s="372"/>
      <c r="S39" s="404">
        <f>B36</f>
        <v>5</v>
      </c>
      <c r="T39" s="287" t="e">
        <f>$A36</f>
        <v>#N/A</v>
      </c>
      <c r="U39" s="287">
        <v>4</v>
      </c>
      <c r="V39" s="287" t="e">
        <f>$A36</f>
        <v>#N/A</v>
      </c>
      <c r="W39" s="372" t="e">
        <f t="shared" ref="W39:AF39" si="4">F39</f>
        <v>#N/A</v>
      </c>
      <c r="X39" s="372" t="e">
        <f t="shared" si="4"/>
        <v>#N/A</v>
      </c>
      <c r="Y39" s="372" t="e">
        <f t="shared" si="4"/>
        <v>#N/A</v>
      </c>
      <c r="Z39" s="372" t="e">
        <f t="shared" si="4"/>
        <v>#N/A</v>
      </c>
      <c r="AA39" s="372" t="e">
        <f t="shared" si="4"/>
        <v>#N/A</v>
      </c>
      <c r="AB39" s="372" t="e">
        <f t="shared" si="4"/>
        <v>#N/A</v>
      </c>
      <c r="AC39" s="372" t="e">
        <f t="shared" si="4"/>
        <v>#N/A</v>
      </c>
      <c r="AD39" s="372" t="e">
        <f t="shared" si="4"/>
        <v>#N/A</v>
      </c>
      <c r="AE39" s="372" t="e">
        <f t="shared" si="4"/>
        <v>#N/A</v>
      </c>
      <c r="AF39" s="372" t="e">
        <f t="shared" si="4"/>
        <v>#N/A</v>
      </c>
      <c r="AH39" s="231"/>
      <c r="AI39" s="231"/>
      <c r="AJ39" s="404">
        <v>96</v>
      </c>
      <c r="AK39" s="231"/>
    </row>
    <row r="40" spans="1:37" s="280" customFormat="1" ht="13.2" customHeight="1" x14ac:dyDescent="0.25">
      <c r="A40" s="522"/>
      <c r="B40" s="523"/>
      <c r="C40" s="524" t="e">
        <f>VLOOKUP(B36,Уч!$A$2:$L$34,12,FALSE)</f>
        <v>#N/A</v>
      </c>
      <c r="D40" s="528"/>
      <c r="E40" s="509" t="s">
        <v>59</v>
      </c>
      <c r="F40" s="458" t="e">
        <f>RANK(F39,$W$19:$W$40,0)</f>
        <v>#N/A</v>
      </c>
      <c r="G40" s="523" t="e">
        <f>RANK(G39,$X$19:$X$40,0)</f>
        <v>#N/A</v>
      </c>
      <c r="H40" s="523" t="e">
        <f>RANK(H39,$Y$19:$Y$40,0)</f>
        <v>#N/A</v>
      </c>
      <c r="I40" s="523" t="e">
        <f>RANK(I39,$Z$19:$Z$40,0)</f>
        <v>#N/A</v>
      </c>
      <c r="J40" s="526" t="e">
        <f>RANK(J39,$AA$19:$AA$40,0)</f>
        <v>#N/A</v>
      </c>
      <c r="K40" s="523" t="e">
        <f>RANK(K39,$AB$19:$AB$40,0)</f>
        <v>#N/A</v>
      </c>
      <c r="L40" s="523" t="e">
        <f>RANK(L39,$AC$19:$AC$40,0)</f>
        <v>#N/A</v>
      </c>
      <c r="M40" s="523" t="e">
        <f>RANK(M39,$AD$19:$AD$40,0)</f>
        <v>#N/A</v>
      </c>
      <c r="N40" s="523" t="e">
        <f>RANK(N39,$AE$19:$AE$40,0)</f>
        <v>#N/A</v>
      </c>
      <c r="O40" s="523" t="e">
        <f>RANK(O39,$AF$19:$AF$40,0)</f>
        <v>#N/A</v>
      </c>
      <c r="P40" s="448"/>
      <c r="Q40" s="527"/>
      <c r="R40" s="527"/>
      <c r="S40" s="205">
        <f>B36</f>
        <v>5</v>
      </c>
      <c r="T40" s="287" t="e">
        <f>$A36</f>
        <v>#N/A</v>
      </c>
      <c r="U40" s="287">
        <v>5</v>
      </c>
      <c r="V40" s="287" t="e">
        <f>$A36</f>
        <v>#N/A</v>
      </c>
      <c r="W40" s="449"/>
      <c r="X40" s="307"/>
      <c r="Y40" s="307"/>
      <c r="Z40" s="307"/>
      <c r="AA40" s="307"/>
      <c r="AB40" s="307"/>
      <c r="AC40" s="307"/>
      <c r="AD40" s="450"/>
      <c r="AE40" s="450"/>
      <c r="AF40" s="450"/>
      <c r="AH40" s="231"/>
      <c r="AI40" s="231"/>
      <c r="AJ40" s="404">
        <v>96</v>
      </c>
      <c r="AK40" s="231"/>
    </row>
    <row r="41" spans="1:37" s="280" customFormat="1" ht="13.2" customHeight="1" x14ac:dyDescent="0.35">
      <c r="A41" s="539" t="e">
        <f>RANK(P41,$P$16:$P$150,0)</f>
        <v>#N/A</v>
      </c>
      <c r="B41" s="530">
        <v>21</v>
      </c>
      <c r="C41" s="531" t="str">
        <f>VLOOKUP(B41,Уч!$A$2:$L$34,2,FALSE)</f>
        <v>Гасленко Кирилл</v>
      </c>
      <c r="D41" s="532">
        <f>VLOOKUP(B41,Уч!$A$2:$L$34,3,FALSE)</f>
        <v>36317</v>
      </c>
      <c r="E41" s="536" t="s">
        <v>19</v>
      </c>
      <c r="F41" s="540">
        <f>VLOOKUP($B41,'100 м 1'!$C$18:$I$87,5,FALSE)</f>
        <v>12.07</v>
      </c>
      <c r="G41" s="540">
        <f>VLOOKUP($B41,'длина 2 '!$C$16:$O$54,11,FALSE)</f>
        <v>6.98</v>
      </c>
      <c r="H41" s="540">
        <f>VLOOKUP($B41,'ядро 2'!$C$16:$K$60,8,FALSE)</f>
        <v>12.02</v>
      </c>
      <c r="I41" s="540">
        <f>VLOOKUP($B41,'высота 2'!$C$16:$AF$57,29,FALSE)</f>
        <v>1.76</v>
      </c>
      <c r="J41" s="541" t="e">
        <f>VLOOKUP($B41,'4_р'!$C$17:$H$73,5,FALSE)</f>
        <v>#N/A</v>
      </c>
      <c r="K41" s="540">
        <f>VLOOKUP($B41,'1cб_р'!$C$17:$I$67,5,FALSE)</f>
        <v>0</v>
      </c>
      <c r="L41" s="540">
        <f>VLOOKUP($B41,Дс_р!$C$16:$K$70,8,FALSE)</f>
        <v>0</v>
      </c>
      <c r="M41" s="540">
        <f>VLOOKUP($B41,Ш_р!$C$15:$AF$69,29,FALSE)</f>
        <v>0</v>
      </c>
      <c r="N41" s="540">
        <f>VLOOKUP($B41,К_р!$C$15:$K$68,8,FALSE)</f>
        <v>0</v>
      </c>
      <c r="O41" s="542">
        <f>VLOOKUP($B41,'15_р'!$C$17:$H$86,5,FALSE)</f>
        <v>0</v>
      </c>
      <c r="P41" s="543" t="e">
        <f>SUM(F43:O43)</f>
        <v>#N/A</v>
      </c>
      <c r="Q41" s="539" t="e">
        <f>LOOKUP(P41,Y$1:AH$1,Y$2:AH$2)</f>
        <v>#N/A</v>
      </c>
      <c r="R41" s="530" t="e">
        <f>AH41+AI41+5</f>
        <v>#N/A</v>
      </c>
      <c r="S41" s="404">
        <f>B41</f>
        <v>21</v>
      </c>
      <c r="T41" s="287" t="e">
        <f>$A41</f>
        <v>#N/A</v>
      </c>
      <c r="U41" s="287">
        <v>1</v>
      </c>
      <c r="V41" s="287" t="s">
        <v>162</v>
      </c>
      <c r="W41" s="449"/>
      <c r="X41" s="307"/>
      <c r="Y41" s="307"/>
      <c r="Z41" s="307"/>
      <c r="AA41" s="307"/>
      <c r="AB41" s="307"/>
      <c r="AC41" s="307"/>
      <c r="AD41" s="450"/>
      <c r="AE41" s="450"/>
      <c r="AF41" s="450"/>
      <c r="AH41" s="280" t="e">
        <f>IF(AND(T41&gt;16,P41&gt;=6200),"1",LOOKUP(T41,Y$5:AO$5,Y$6:AO$6))</f>
        <v>#N/A</v>
      </c>
      <c r="AI41" s="280" t="e">
        <f>LOOKUP(Q41,Y$8:AD$8,Y$9:AD$9)</f>
        <v>#N/A</v>
      </c>
      <c r="AJ41" s="404">
        <v>97</v>
      </c>
      <c r="AK41" s="231"/>
    </row>
    <row r="42" spans="1:37" s="280" customFormat="1" ht="13.2" customHeight="1" x14ac:dyDescent="0.35">
      <c r="A42" s="231"/>
      <c r="B42" s="404"/>
      <c r="C42" s="451" t="str">
        <f>VLOOKUP(B41,Уч!$A$2:$L$34,5,FALSE)</f>
        <v xml:space="preserve">Краснодарский край  </v>
      </c>
      <c r="D42" s="444">
        <f>VLOOKUP(B41,Уч!$A$2:$L$34,4,FALSE)</f>
        <v>1</v>
      </c>
      <c r="E42" s="509" t="s">
        <v>25</v>
      </c>
      <c r="F42" s="475">
        <f>VLOOKUP($B41,'100 м 1'!$C$18:$I$87,6,FALSE)</f>
        <v>2</v>
      </c>
      <c r="G42" s="476">
        <f>VLOOKUP($B41,'длина 2 '!$C$16:$O$54,12,FALSE)</f>
        <v>-0.6</v>
      </c>
      <c r="H42" s="473"/>
      <c r="I42" s="476"/>
      <c r="J42" s="477"/>
      <c r="K42" s="476">
        <f>VLOOKUP($B41,'1cб_р'!$C$17:$I$67,6,FALSE)</f>
        <v>0</v>
      </c>
      <c r="L42" s="476"/>
      <c r="M42" s="476"/>
      <c r="N42" s="473"/>
      <c r="O42" s="473"/>
      <c r="P42" s="448"/>
      <c r="Q42" s="456"/>
      <c r="R42" s="404" t="e">
        <f>CONCATENATE(AH41,"+",AI41,"+",5)</f>
        <v>#N/A</v>
      </c>
      <c r="S42" s="404">
        <f>B41</f>
        <v>21</v>
      </c>
      <c r="T42" s="287" t="e">
        <f>$A41</f>
        <v>#N/A</v>
      </c>
      <c r="U42" s="287">
        <v>2</v>
      </c>
      <c r="V42" s="287" t="s">
        <v>162</v>
      </c>
      <c r="W42" s="449"/>
      <c r="X42" s="307"/>
      <c r="Y42" s="307"/>
      <c r="Z42" s="307"/>
      <c r="AA42" s="307"/>
      <c r="AB42" s="307"/>
      <c r="AC42" s="307"/>
      <c r="AD42" s="450"/>
      <c r="AE42" s="450"/>
      <c r="AF42" s="450"/>
      <c r="AH42" s="231"/>
      <c r="AI42" s="231"/>
      <c r="AJ42" s="404">
        <v>97</v>
      </c>
      <c r="AK42" s="231"/>
    </row>
    <row r="43" spans="1:37" s="280" customFormat="1" ht="13.2" customHeight="1" x14ac:dyDescent="0.35">
      <c r="A43" s="231"/>
      <c r="B43" s="404"/>
      <c r="C43" s="457" t="str">
        <f>VLOOKUP(B41,Уч!$A$2:$L$34,7,FALSE)</f>
        <v>ГБУ КК "ЦОП №1"</v>
      </c>
      <c r="D43" s="444"/>
      <c r="E43" s="509" t="s">
        <v>29</v>
      </c>
      <c r="F43" s="478">
        <f>VLOOKUP($B41,'100 м 1'!$C$18:$I$87,7,FALSE)</f>
        <v>637</v>
      </c>
      <c r="G43" s="473">
        <f>VLOOKUP($B41,'длина 2 '!$C$16:$O$54,13,FALSE)</f>
        <v>0</v>
      </c>
      <c r="H43" s="473">
        <f>VLOOKUP($B41,'ядро 2'!$C$16:$K$60,9,FALSE)</f>
        <v>608</v>
      </c>
      <c r="I43" s="473">
        <f>VLOOKUP($B41,'высота 2'!$C$16:$AF$57,30,)</f>
        <v>0</v>
      </c>
      <c r="J43" s="479" t="e">
        <f>VLOOKUP($B41,'4_р'!$C$17:$H$73,6,FALSE)</f>
        <v>#N/A</v>
      </c>
      <c r="K43" s="473">
        <f>VLOOKUP($B41,'1cб_р'!$C$17:$I$67,7,FALSE)</f>
        <v>0</v>
      </c>
      <c r="L43" s="473">
        <f>VLOOKUP($B41,Дс_р!$C$16:$K$70,9,FALSE)</f>
        <v>0</v>
      </c>
      <c r="M43" s="473">
        <f>VLOOKUP($B41,Ш_р!$C$15:$AF$69,30,FALSE)</f>
        <v>0</v>
      </c>
      <c r="N43" s="473">
        <f>VLOOKUP($B41,К_р!$C$15:$K$68,9,FALSE)</f>
        <v>0</v>
      </c>
      <c r="O43" s="473">
        <f>VLOOKUP($B41,'15_р'!$C$17:$H$86,6,FALSE)</f>
        <v>0</v>
      </c>
      <c r="P43" s="448"/>
      <c r="Q43" s="468"/>
      <c r="R43" s="372"/>
      <c r="S43" s="404">
        <f>B41</f>
        <v>21</v>
      </c>
      <c r="T43" s="287" t="e">
        <f>$A41</f>
        <v>#N/A</v>
      </c>
      <c r="U43" s="287">
        <v>3</v>
      </c>
      <c r="V43" s="287" t="s">
        <v>162</v>
      </c>
      <c r="W43" s="449"/>
      <c r="X43" s="307"/>
      <c r="Y43" s="307"/>
      <c r="Z43" s="307"/>
      <c r="AA43" s="307"/>
      <c r="AB43" s="307"/>
      <c r="AC43" s="307"/>
      <c r="AD43" s="450"/>
      <c r="AE43" s="450"/>
      <c r="AF43" s="450"/>
      <c r="AH43" s="231"/>
      <c r="AI43" s="231"/>
      <c r="AJ43" s="404">
        <v>97</v>
      </c>
      <c r="AK43" s="231"/>
    </row>
    <row r="44" spans="1:37" s="280" customFormat="1" ht="13.2" customHeight="1" x14ac:dyDescent="0.35">
      <c r="A44" s="231"/>
      <c r="B44" s="404"/>
      <c r="C44" s="451" t="str">
        <f>VLOOKUP(B41,Уч!$A$2:$L$34,11,FALSE)</f>
        <v>Лияскин А.С., Смирнов В.Ф., Пугач С.В.</v>
      </c>
      <c r="D44" s="444"/>
      <c r="E44" s="509" t="s">
        <v>276</v>
      </c>
      <c r="F44" s="478">
        <f>F43</f>
        <v>637</v>
      </c>
      <c r="G44" s="473">
        <f>F44+G43</f>
        <v>637</v>
      </c>
      <c r="H44" s="473">
        <f>G44+H43</f>
        <v>1245</v>
      </c>
      <c r="I44" s="473">
        <f>H44+I43</f>
        <v>1245</v>
      </c>
      <c r="J44" s="479" t="e">
        <f>SUM($F43:J43)</f>
        <v>#N/A</v>
      </c>
      <c r="K44" s="473" t="e">
        <f>SUM($F43:$K43)</f>
        <v>#N/A</v>
      </c>
      <c r="L44" s="473" t="e">
        <f>K44+L43</f>
        <v>#N/A</v>
      </c>
      <c r="M44" s="473" t="e">
        <f>L44+M43</f>
        <v>#N/A</v>
      </c>
      <c r="N44" s="473" t="e">
        <f>SUM($F43:$N43)</f>
        <v>#N/A</v>
      </c>
      <c r="O44" s="473" t="e">
        <f>SUM($F43:$O43)</f>
        <v>#N/A</v>
      </c>
      <c r="P44" s="448"/>
      <c r="Q44" s="456"/>
      <c r="R44" s="372"/>
      <c r="S44" s="404">
        <f>B41</f>
        <v>21</v>
      </c>
      <c r="T44" s="287" t="e">
        <f>$A41</f>
        <v>#N/A</v>
      </c>
      <c r="U44" s="287">
        <v>4</v>
      </c>
      <c r="V44" s="287" t="s">
        <v>162</v>
      </c>
      <c r="W44" s="372">
        <f t="shared" ref="W44:AF44" si="5">F44</f>
        <v>637</v>
      </c>
      <c r="X44" s="372">
        <f t="shared" si="5"/>
        <v>637</v>
      </c>
      <c r="Y44" s="372">
        <f t="shared" si="5"/>
        <v>1245</v>
      </c>
      <c r="Z44" s="372">
        <f t="shared" si="5"/>
        <v>1245</v>
      </c>
      <c r="AA44" s="372" t="e">
        <f t="shared" si="5"/>
        <v>#N/A</v>
      </c>
      <c r="AB44" s="372" t="e">
        <f t="shared" si="5"/>
        <v>#N/A</v>
      </c>
      <c r="AC44" s="372" t="e">
        <f t="shared" si="5"/>
        <v>#N/A</v>
      </c>
      <c r="AD44" s="372" t="e">
        <f t="shared" si="5"/>
        <v>#N/A</v>
      </c>
      <c r="AE44" s="372" t="e">
        <f t="shared" si="5"/>
        <v>#N/A</v>
      </c>
      <c r="AF44" s="372" t="e">
        <f t="shared" si="5"/>
        <v>#N/A</v>
      </c>
      <c r="AH44" s="231"/>
      <c r="AI44" s="231"/>
      <c r="AJ44" s="404">
        <v>97</v>
      </c>
      <c r="AK44" s="231"/>
    </row>
    <row r="45" spans="1:37" s="280" customFormat="1" ht="13.2" customHeight="1" x14ac:dyDescent="0.25">
      <c r="A45" s="522"/>
      <c r="B45" s="523"/>
      <c r="C45" s="524">
        <f>VLOOKUP(B41,Уч!$A$2:$L$34,12,FALSE)</f>
        <v>0</v>
      </c>
      <c r="D45" s="528"/>
      <c r="E45" s="509" t="s">
        <v>59</v>
      </c>
      <c r="F45" s="478" t="e">
        <f>RANK(F44,$W$19:$W$150,0)</f>
        <v>#N/A</v>
      </c>
      <c r="G45" s="537" t="e">
        <f>RANK(G44,$X$19:$X$150,0)</f>
        <v>#N/A</v>
      </c>
      <c r="H45" s="537" t="e">
        <f>RANK(H44,$Y$19:$Y$150,0)</f>
        <v>#N/A</v>
      </c>
      <c r="I45" s="537" t="e">
        <f>RANK(I44,$Z$19:$Z$150,0)</f>
        <v>#N/A</v>
      </c>
      <c r="J45" s="538" t="e">
        <f>RANK(J44,$AA$19:$AA$150,0)</f>
        <v>#N/A</v>
      </c>
      <c r="K45" s="537" t="e">
        <f>RANK(K44,$AB$19:$AB$150,0)</f>
        <v>#N/A</v>
      </c>
      <c r="L45" s="537" t="e">
        <f>RANK(L44,$AC$19:$AC$150,0)</f>
        <v>#N/A</v>
      </c>
      <c r="M45" s="537" t="e">
        <f>RANK(M44,$AD$19:$AD$150,0)</f>
        <v>#N/A</v>
      </c>
      <c r="N45" s="537" t="e">
        <f>RANK(N44,$AE$19:$AE$150,0)</f>
        <v>#N/A</v>
      </c>
      <c r="O45" s="537" t="e">
        <f>RANK(O44,$AF$19:$AF$150,0)</f>
        <v>#N/A</v>
      </c>
      <c r="P45" s="448"/>
      <c r="Q45" s="527"/>
      <c r="R45" s="527"/>
      <c r="S45" s="205">
        <f>B41</f>
        <v>21</v>
      </c>
      <c r="T45" s="287" t="e">
        <f>$A41</f>
        <v>#N/A</v>
      </c>
      <c r="U45" s="287">
        <v>5</v>
      </c>
      <c r="V45" s="287" t="s">
        <v>162</v>
      </c>
      <c r="W45" s="449"/>
      <c r="X45" s="307"/>
      <c r="Y45" s="307"/>
      <c r="Z45" s="307"/>
      <c r="AA45" s="307"/>
      <c r="AB45" s="307"/>
      <c r="AC45" s="307"/>
      <c r="AD45" s="450"/>
      <c r="AE45" s="450"/>
      <c r="AF45" s="450"/>
      <c r="AH45" s="231"/>
      <c r="AI45" s="231"/>
      <c r="AJ45" s="404">
        <v>97</v>
      </c>
      <c r="AK45" s="231"/>
    </row>
    <row r="46" spans="1:37" s="280" customFormat="1" ht="13.2" customHeight="1" x14ac:dyDescent="0.35">
      <c r="A46" s="539" t="e">
        <f>RANK(P46,$P$16:$P$150,0)</f>
        <v>#N/A</v>
      </c>
      <c r="B46" s="530">
        <v>28</v>
      </c>
      <c r="C46" s="531" t="e">
        <f>VLOOKUP(B46,Уч!$A$2:$L$34,2,FALSE)</f>
        <v>#N/A</v>
      </c>
      <c r="D46" s="532" t="e">
        <f>VLOOKUP(B46,Уч!$A$2:$L$34,3,FALSE)</f>
        <v>#N/A</v>
      </c>
      <c r="E46" s="536" t="s">
        <v>19</v>
      </c>
      <c r="F46" s="533" t="e">
        <f>VLOOKUP($B46,'100 м 1'!$C$18:$I$87,5,FALSE)</f>
        <v>#N/A</v>
      </c>
      <c r="G46" s="533" t="e">
        <f>VLOOKUP($B46,'длина 2 '!$C$16:$O$54,11,FALSE)</f>
        <v>#N/A</v>
      </c>
      <c r="H46" s="540" t="e">
        <f>VLOOKUP($B46,'ядро 2'!$C$16:$K$60,8,FALSE)</f>
        <v>#N/A</v>
      </c>
      <c r="I46" s="540" t="e">
        <f>VLOOKUP($B46,'высота 2'!$C$16:$AF$57,29,FALSE)</f>
        <v>#N/A</v>
      </c>
      <c r="J46" s="541" t="e">
        <f>VLOOKUP($B46,'4_р'!$C$17:$H$73,5,FALSE)</f>
        <v>#N/A</v>
      </c>
      <c r="K46" s="540">
        <f>VLOOKUP($B46,'1cб_р'!$C$17:$I$67,5,FALSE)</f>
        <v>0</v>
      </c>
      <c r="L46" s="540">
        <f>VLOOKUP($B46,Дс_р!$C$16:$K$70,8,FALSE)</f>
        <v>0</v>
      </c>
      <c r="M46" s="540">
        <f>VLOOKUP($B46,Ш_р!$C$15:$AF$69,29,FALSE)</f>
        <v>0</v>
      </c>
      <c r="N46" s="540">
        <f>VLOOKUP($B46,К_р!$C$15:$K$68,8,FALSE)</f>
        <v>0</v>
      </c>
      <c r="O46" s="542">
        <f>VLOOKUP($B46,'15_р'!$C$17:$H$86,5,FALSE)</f>
        <v>0</v>
      </c>
      <c r="P46" s="535" t="e">
        <f>SUM(F48:O48)</f>
        <v>#N/A</v>
      </c>
      <c r="Q46" s="529" t="e">
        <f>LOOKUP(P46,Y$1:AH$1,Y$2:AH$2)</f>
        <v>#N/A</v>
      </c>
      <c r="R46" s="530" t="e">
        <f>AH46+AI46+5</f>
        <v>#N/A</v>
      </c>
      <c r="S46" s="404">
        <f>B46</f>
        <v>28</v>
      </c>
      <c r="T46" s="287" t="e">
        <f>$A46</f>
        <v>#N/A</v>
      </c>
      <c r="U46" s="287">
        <v>1</v>
      </c>
      <c r="V46" s="287" t="s">
        <v>162</v>
      </c>
      <c r="W46" s="449"/>
      <c r="X46" s="307"/>
      <c r="Y46" s="307"/>
      <c r="Z46" s="307"/>
      <c r="AA46" s="307"/>
      <c r="AB46" s="307"/>
      <c r="AC46" s="307"/>
      <c r="AD46" s="450"/>
      <c r="AE46" s="450"/>
      <c r="AF46" s="450"/>
      <c r="AH46" s="280" t="e">
        <f>IF(AND(T46&gt;16,P46&gt;=6200),"1",LOOKUP(T46,Y$5:AO$5,Y$6:AO$6))</f>
        <v>#N/A</v>
      </c>
      <c r="AI46" s="280" t="e">
        <f>LOOKUP(Q46,Y$8:AD$8,Y$9:AD$9)</f>
        <v>#N/A</v>
      </c>
      <c r="AJ46" s="404">
        <v>99</v>
      </c>
      <c r="AK46" s="231"/>
    </row>
    <row r="47" spans="1:37" s="280" customFormat="1" ht="13.2" customHeight="1" x14ac:dyDescent="0.35">
      <c r="A47" s="231"/>
      <c r="B47" s="404"/>
      <c r="C47" s="451" t="e">
        <f>VLOOKUP(B46,Уч!$A$2:$L$34,5,FALSE)</f>
        <v>#N/A</v>
      </c>
      <c r="D47" s="452" t="e">
        <f>VLOOKUP(B46,Уч!$A$2:$L$34,4,FALSE)</f>
        <v>#N/A</v>
      </c>
      <c r="E47" s="509" t="s">
        <v>25</v>
      </c>
      <c r="F47" s="453" t="e">
        <f>VLOOKUP($B46,'100 м 1'!$C$18:$I$87,6,FALSE)</f>
        <v>#N/A</v>
      </c>
      <c r="G47" s="454" t="e">
        <f>VLOOKUP($B46,'длина 2 '!$C$16:$O$54,12,FALSE)</f>
        <v>#N/A</v>
      </c>
      <c r="H47" s="473"/>
      <c r="I47" s="476"/>
      <c r="J47" s="477"/>
      <c r="K47" s="476">
        <f>VLOOKUP($B46,'1cб_р'!$C$17:$I$67,6,FALSE)</f>
        <v>0</v>
      </c>
      <c r="L47" s="476"/>
      <c r="M47" s="476"/>
      <c r="N47" s="473"/>
      <c r="O47" s="473"/>
      <c r="P47" s="448"/>
      <c r="Q47" s="456"/>
      <c r="R47" s="404" t="e">
        <f>CONCATENATE(AH46,"+",AI46,"+",5)</f>
        <v>#N/A</v>
      </c>
      <c r="S47" s="404">
        <f>B46</f>
        <v>28</v>
      </c>
      <c r="T47" s="287" t="e">
        <f>$A46</f>
        <v>#N/A</v>
      </c>
      <c r="U47" s="287">
        <v>2</v>
      </c>
      <c r="V47" s="287" t="s">
        <v>162</v>
      </c>
      <c r="W47" s="449"/>
      <c r="X47" s="307"/>
      <c r="Y47" s="307"/>
      <c r="Z47" s="307"/>
      <c r="AA47" s="307"/>
      <c r="AB47" s="307"/>
      <c r="AC47" s="307"/>
      <c r="AD47" s="450"/>
      <c r="AE47" s="450"/>
      <c r="AF47" s="450"/>
      <c r="AH47" s="231"/>
      <c r="AI47" s="231"/>
      <c r="AJ47" s="404">
        <v>99</v>
      </c>
      <c r="AK47" s="231"/>
    </row>
    <row r="48" spans="1:37" s="280" customFormat="1" ht="13.2" customHeight="1" x14ac:dyDescent="0.35">
      <c r="A48" s="231"/>
      <c r="B48" s="404"/>
      <c r="C48" s="457" t="e">
        <f>VLOOKUP(B46,Уч!$A$2:$L$34,7,FALSE)</f>
        <v>#N/A</v>
      </c>
      <c r="D48" s="452"/>
      <c r="E48" s="509" t="s">
        <v>29</v>
      </c>
      <c r="F48" s="458" t="e">
        <f>VLOOKUP($B46,'100 м 1'!$C$18:$I$87,7,FALSE)</f>
        <v>#N/A</v>
      </c>
      <c r="G48" s="404" t="e">
        <f>VLOOKUP($B46,'длина 2 '!$C$16:$O$54,13,FALSE)</f>
        <v>#N/A</v>
      </c>
      <c r="H48" s="473" t="e">
        <f>VLOOKUP($B46,'ядро 2'!$C$16:$K$60,9,FALSE)</f>
        <v>#N/A</v>
      </c>
      <c r="I48" s="473" t="e">
        <f>VLOOKUP($B46,'высота 2'!$C$16:$AF$57,30,)</f>
        <v>#N/A</v>
      </c>
      <c r="J48" s="479" t="e">
        <f>VLOOKUP($B46,'4_р'!$C$17:$H$73,6,FALSE)</f>
        <v>#N/A</v>
      </c>
      <c r="K48" s="473">
        <f>VLOOKUP($B46,'1cб_р'!$C$17:$I$67,7,FALSE)</f>
        <v>0</v>
      </c>
      <c r="L48" s="473">
        <f>VLOOKUP($B46,Дс_р!$C$16:$K$70,9,FALSE)</f>
        <v>0</v>
      </c>
      <c r="M48" s="473">
        <f>VLOOKUP($B46,Ш_р!$C$15:$AF$69,30,FALSE)</f>
        <v>0</v>
      </c>
      <c r="N48" s="473">
        <f>VLOOKUP($B46,К_р!$C$15:$K$68,9,FALSE)</f>
        <v>0</v>
      </c>
      <c r="O48" s="473">
        <f>VLOOKUP($B46,'15_р'!$C$17:$H$86,6,FALSE)</f>
        <v>0</v>
      </c>
      <c r="P48" s="448"/>
      <c r="Q48" s="468"/>
      <c r="R48" s="372"/>
      <c r="S48" s="404">
        <f>B46</f>
        <v>28</v>
      </c>
      <c r="T48" s="287" t="e">
        <f>$A46</f>
        <v>#N/A</v>
      </c>
      <c r="U48" s="287">
        <v>3</v>
      </c>
      <c r="V48" s="287" t="s">
        <v>162</v>
      </c>
      <c r="W48" s="449"/>
      <c r="X48" s="307"/>
      <c r="Y48" s="307"/>
      <c r="Z48" s="307"/>
      <c r="AA48" s="307"/>
      <c r="AB48" s="307"/>
      <c r="AC48" s="307"/>
      <c r="AD48" s="450"/>
      <c r="AE48" s="450"/>
      <c r="AF48" s="450"/>
      <c r="AH48" s="231"/>
      <c r="AI48" s="231"/>
      <c r="AJ48" s="404">
        <v>99</v>
      </c>
      <c r="AK48" s="231"/>
    </row>
    <row r="49" spans="1:37" s="280" customFormat="1" ht="13.2" customHeight="1" x14ac:dyDescent="0.35">
      <c r="A49" s="231"/>
      <c r="B49" s="404"/>
      <c r="C49" s="451" t="e">
        <f>VLOOKUP(B46,Уч!$A$2:$L$34,11,FALSE)</f>
        <v>#N/A</v>
      </c>
      <c r="D49" s="452"/>
      <c r="E49" s="509" t="s">
        <v>276</v>
      </c>
      <c r="F49" s="458" t="e">
        <f>F48</f>
        <v>#N/A</v>
      </c>
      <c r="G49" s="404" t="e">
        <f>F49+G48</f>
        <v>#N/A</v>
      </c>
      <c r="H49" s="473" t="e">
        <f>G49+H48</f>
        <v>#N/A</v>
      </c>
      <c r="I49" s="473" t="e">
        <f>H49+I48</f>
        <v>#N/A</v>
      </c>
      <c r="J49" s="479" t="e">
        <f>SUM($F48:J48)</f>
        <v>#N/A</v>
      </c>
      <c r="K49" s="473" t="e">
        <f>SUM($F48:$K48)</f>
        <v>#N/A</v>
      </c>
      <c r="L49" s="473" t="e">
        <f>K49+L48</f>
        <v>#N/A</v>
      </c>
      <c r="M49" s="473" t="e">
        <f>L49+M48</f>
        <v>#N/A</v>
      </c>
      <c r="N49" s="473" t="e">
        <f>SUM($F48:$N48)</f>
        <v>#N/A</v>
      </c>
      <c r="O49" s="473" t="e">
        <f>SUM($F48:$O48)</f>
        <v>#N/A</v>
      </c>
      <c r="P49" s="448"/>
      <c r="Q49" s="468"/>
      <c r="R49" s="372"/>
      <c r="S49" s="404">
        <f>B46</f>
        <v>28</v>
      </c>
      <c r="T49" s="287" t="e">
        <f>$A46</f>
        <v>#N/A</v>
      </c>
      <c r="U49" s="287">
        <v>4</v>
      </c>
      <c r="V49" s="287" t="s">
        <v>162</v>
      </c>
      <c r="W49" s="372" t="e">
        <f t="shared" ref="W49:AF49" si="6">F49</f>
        <v>#N/A</v>
      </c>
      <c r="X49" s="372" t="e">
        <f t="shared" si="6"/>
        <v>#N/A</v>
      </c>
      <c r="Y49" s="372" t="e">
        <f t="shared" si="6"/>
        <v>#N/A</v>
      </c>
      <c r="Z49" s="372" t="e">
        <f t="shared" si="6"/>
        <v>#N/A</v>
      </c>
      <c r="AA49" s="372" t="e">
        <f t="shared" si="6"/>
        <v>#N/A</v>
      </c>
      <c r="AB49" s="372" t="e">
        <f t="shared" si="6"/>
        <v>#N/A</v>
      </c>
      <c r="AC49" s="372" t="e">
        <f t="shared" si="6"/>
        <v>#N/A</v>
      </c>
      <c r="AD49" s="372" t="e">
        <f t="shared" si="6"/>
        <v>#N/A</v>
      </c>
      <c r="AE49" s="372" t="e">
        <f t="shared" si="6"/>
        <v>#N/A</v>
      </c>
      <c r="AF49" s="372" t="e">
        <f t="shared" si="6"/>
        <v>#N/A</v>
      </c>
      <c r="AH49" s="231"/>
      <c r="AI49" s="231"/>
      <c r="AJ49" s="404">
        <v>99</v>
      </c>
      <c r="AK49" s="231"/>
    </row>
    <row r="50" spans="1:37" s="280" customFormat="1" ht="13.2" customHeight="1" x14ac:dyDescent="0.25">
      <c r="A50" s="522"/>
      <c r="B50" s="523"/>
      <c r="C50" s="524" t="e">
        <f>VLOOKUP(B46,Уч!$A$2:$L$34,12,FALSE)</f>
        <v>#N/A</v>
      </c>
      <c r="D50" s="525"/>
      <c r="E50" s="509" t="s">
        <v>59</v>
      </c>
      <c r="F50" s="458" t="e">
        <f>RANK(F49,$W$19:$W$150,0)</f>
        <v>#N/A</v>
      </c>
      <c r="G50" s="523" t="e">
        <f>RANK(G49,$X$19:$X$150,0)</f>
        <v>#N/A</v>
      </c>
      <c r="H50" s="537" t="e">
        <f>RANK(H49,$Y$19:$Y$150,0)</f>
        <v>#N/A</v>
      </c>
      <c r="I50" s="537" t="e">
        <f>RANK(I49,$Z$19:$Z$150,0)</f>
        <v>#N/A</v>
      </c>
      <c r="J50" s="538" t="e">
        <f>RANK(J49,$AA$19:$AA$150,0)</f>
        <v>#N/A</v>
      </c>
      <c r="K50" s="537" t="e">
        <f>RANK(K49,$AB$19:$AB$150,0)</f>
        <v>#N/A</v>
      </c>
      <c r="L50" s="537" t="e">
        <f>RANK(L49,$AC$19:$AC$150,0)</f>
        <v>#N/A</v>
      </c>
      <c r="M50" s="537" t="e">
        <f>RANK(M49,$AD$19:$AD$150,0)</f>
        <v>#N/A</v>
      </c>
      <c r="N50" s="537" t="e">
        <f>RANK(N49,$AE$19:$AE$150,0)</f>
        <v>#N/A</v>
      </c>
      <c r="O50" s="537" t="e">
        <f>RANK(O49,$AF$19:$AF$150,0)</f>
        <v>#N/A</v>
      </c>
      <c r="P50" s="448"/>
      <c r="Q50" s="527"/>
      <c r="R50" s="527"/>
      <c r="S50" s="205">
        <f>B46</f>
        <v>28</v>
      </c>
      <c r="T50" s="287" t="e">
        <f>$A46</f>
        <v>#N/A</v>
      </c>
      <c r="U50" s="287">
        <v>5</v>
      </c>
      <c r="V50" s="287" t="s">
        <v>162</v>
      </c>
      <c r="W50" s="449"/>
      <c r="X50" s="307"/>
      <c r="Y50" s="307"/>
      <c r="Z50" s="307"/>
      <c r="AA50" s="307"/>
      <c r="AB50" s="307"/>
      <c r="AC50" s="307"/>
      <c r="AD50" s="450"/>
      <c r="AE50" s="450"/>
      <c r="AF50" s="450"/>
      <c r="AJ50" s="404">
        <v>99</v>
      </c>
      <c r="AK50" s="231"/>
    </row>
    <row r="51" spans="1:37" s="280" customFormat="1" ht="13.2" customHeight="1" x14ac:dyDescent="0.35">
      <c r="A51" s="529" t="e">
        <f>RANK(P51,$P$16:$P$150,0)</f>
        <v>#N/A</v>
      </c>
      <c r="B51" s="530">
        <v>52</v>
      </c>
      <c r="C51" s="531" t="e">
        <f>VLOOKUP(B51,Уч!$A$2:$L$34,2,FALSE)</f>
        <v>#N/A</v>
      </c>
      <c r="D51" s="532" t="e">
        <f>VLOOKUP(B51,Уч!$A$2:$L$34,3,FALSE)</f>
        <v>#N/A</v>
      </c>
      <c r="E51" s="536" t="s">
        <v>19</v>
      </c>
      <c r="F51" s="533">
        <f>VLOOKUP($B51,'100 м 1'!$C$18:$I$87,5,FALSE)</f>
        <v>10.93</v>
      </c>
      <c r="G51" s="533" t="e">
        <f>VLOOKUP($B51,'длина 2 '!$C$16:$O$54,11,FALSE)</f>
        <v>#N/A</v>
      </c>
      <c r="H51" s="533" t="e">
        <f>VLOOKUP($B51,'ядро 2'!$C$16:$K$60,8,FALSE)</f>
        <v>#N/A</v>
      </c>
      <c r="I51" s="533" t="e">
        <f>VLOOKUP($B51,'высота 2'!$C$16:$AF$57,29,FALSE)</f>
        <v>#N/A</v>
      </c>
      <c r="J51" s="534">
        <f>VLOOKUP($B51,'4_р'!$C$17:$H$73,5,FALSE)</f>
        <v>0</v>
      </c>
      <c r="K51" s="533" t="e">
        <f>VLOOKUP($B51,'1cб_р'!$C$17:$I$67,5,FALSE)</f>
        <v>#N/A</v>
      </c>
      <c r="L51" s="533" t="e">
        <f>VLOOKUP($B51,Дс_р!$C$16:$K$70,8,FALSE)</f>
        <v>#N/A</v>
      </c>
      <c r="M51" s="533" t="e">
        <f>VLOOKUP($B51,Ш_р!$C$15:$AF$69,29,FALSE)</f>
        <v>#N/A</v>
      </c>
      <c r="N51" s="533" t="e">
        <f>VLOOKUP($B51,К_р!$C$15:$K$68,8,FALSE)</f>
        <v>#N/A</v>
      </c>
      <c r="O51" s="530">
        <f>VLOOKUP($B51,'15_р'!$C$17:$H$86,5,FALSE)</f>
        <v>0</v>
      </c>
      <c r="P51" s="535" t="e">
        <f>SUM(F53:O53)</f>
        <v>#N/A</v>
      </c>
      <c r="Q51" s="529" t="e">
        <f>LOOKUP(P51,Y$1:AH$1,Y$2:AH$2)</f>
        <v>#N/A</v>
      </c>
      <c r="R51" s="530" t="e">
        <f>AH51+AI51+5</f>
        <v>#N/A</v>
      </c>
      <c r="S51" s="404">
        <f>B51</f>
        <v>52</v>
      </c>
      <c r="T51" s="287" t="e">
        <f>$A51</f>
        <v>#N/A</v>
      </c>
      <c r="U51" s="287">
        <v>1</v>
      </c>
      <c r="V51" s="287" t="e">
        <f>$A51</f>
        <v>#N/A</v>
      </c>
      <c r="W51" s="449"/>
      <c r="X51" s="307"/>
      <c r="Y51" s="307"/>
      <c r="Z51" s="307"/>
      <c r="AA51" s="307"/>
      <c r="AB51" s="307"/>
      <c r="AC51" s="307"/>
      <c r="AD51" s="450"/>
      <c r="AE51" s="450"/>
      <c r="AF51" s="450"/>
      <c r="AH51" s="280" t="e">
        <f>IF(AND(T51&gt;16,P51&gt;=6200),"1",LOOKUP(T51,Y$5:AO$5,Y$6:AO$6))</f>
        <v>#N/A</v>
      </c>
      <c r="AI51" s="280" t="e">
        <f>LOOKUP(Q51,Y$8:AD$8,Y$9:AD$9)</f>
        <v>#N/A</v>
      </c>
      <c r="AJ51" s="404">
        <v>101</v>
      </c>
      <c r="AK51" s="231"/>
    </row>
    <row r="52" spans="1:37" s="280" customFormat="1" ht="13.2" customHeight="1" x14ac:dyDescent="0.35">
      <c r="A52" s="231"/>
      <c r="B52" s="404"/>
      <c r="C52" s="451" t="e">
        <f>VLOOKUP(B51,Уч!$A$2:$L$34,5,FALSE)</f>
        <v>#N/A</v>
      </c>
      <c r="D52" s="452" t="e">
        <f>VLOOKUP(B51,Уч!$A$2:$L$34,4,FALSE)</f>
        <v>#N/A</v>
      </c>
      <c r="E52" s="509" t="s">
        <v>25</v>
      </c>
      <c r="F52" s="453">
        <f>VLOOKUP($B51,'100 м 1'!$C$18:$I$87,6,FALSE)</f>
        <v>1</v>
      </c>
      <c r="G52" s="454" t="e">
        <f>VLOOKUP($B51,'длина 2 '!$C$16:$O$54,12,FALSE)</f>
        <v>#N/A</v>
      </c>
      <c r="H52" s="404"/>
      <c r="I52" s="454"/>
      <c r="J52" s="455"/>
      <c r="K52" s="454" t="e">
        <f>VLOOKUP($B51,'1cб_р'!$C$17:$I$67,6,FALSE)</f>
        <v>#N/A</v>
      </c>
      <c r="L52" s="454"/>
      <c r="M52" s="454"/>
      <c r="N52" s="404"/>
      <c r="O52" s="404"/>
      <c r="P52" s="448"/>
      <c r="Q52" s="456"/>
      <c r="R52" s="404" t="e">
        <f>CONCATENATE(AH51,"+",AI51,"+",5)</f>
        <v>#N/A</v>
      </c>
      <c r="S52" s="404">
        <f>B51</f>
        <v>52</v>
      </c>
      <c r="T52" s="287" t="e">
        <f>$A51</f>
        <v>#N/A</v>
      </c>
      <c r="U52" s="287">
        <v>2</v>
      </c>
      <c r="V52" s="287" t="e">
        <f>$A51</f>
        <v>#N/A</v>
      </c>
      <c r="W52" s="449"/>
      <c r="X52" s="307"/>
      <c r="Y52" s="307"/>
      <c r="Z52" s="307"/>
      <c r="AA52" s="307"/>
      <c r="AB52" s="307"/>
      <c r="AC52" s="307"/>
      <c r="AD52" s="450"/>
      <c r="AE52" s="450"/>
      <c r="AF52" s="450"/>
      <c r="AH52" s="231"/>
      <c r="AI52" s="231"/>
      <c r="AJ52" s="404">
        <v>101</v>
      </c>
      <c r="AK52" s="231"/>
    </row>
    <row r="53" spans="1:37" s="280" customFormat="1" ht="13.2" customHeight="1" x14ac:dyDescent="0.35">
      <c r="A53" s="231"/>
      <c r="B53" s="404"/>
      <c r="C53" s="457" t="e">
        <f>VLOOKUP(B51,Уч!$A$2:$L$34,7,FALSE)</f>
        <v>#N/A</v>
      </c>
      <c r="D53" s="452"/>
      <c r="E53" s="509" t="s">
        <v>29</v>
      </c>
      <c r="F53" s="458">
        <f>VLOOKUP($B51,'100 м 1'!$C$18:$I$87,7,FALSE)</f>
        <v>876</v>
      </c>
      <c r="G53" s="404" t="e">
        <f>VLOOKUP($B51,'длина 2 '!$C$16:$O$54,13,FALSE)</f>
        <v>#N/A</v>
      </c>
      <c r="H53" s="404" t="e">
        <f>VLOOKUP($B51,'ядро 2'!$C$16:$K$60,9,FALSE)</f>
        <v>#N/A</v>
      </c>
      <c r="I53" s="404" t="e">
        <f>VLOOKUP($B51,'высота 2'!$C$16:$AF$57,30,)</f>
        <v>#N/A</v>
      </c>
      <c r="J53" s="459">
        <f>VLOOKUP($B51,'4_р'!$C$17:$H$73,6,FALSE)</f>
        <v>0</v>
      </c>
      <c r="K53" s="404" t="e">
        <f>VLOOKUP($B51,'1cб_р'!$C$17:$I$67,7,FALSE)</f>
        <v>#N/A</v>
      </c>
      <c r="L53" s="404" t="e">
        <f>VLOOKUP($B51,Дс_р!$C$16:$K$70,9,FALSE)</f>
        <v>#N/A</v>
      </c>
      <c r="M53" s="404" t="e">
        <f>VLOOKUP($B51,Ш_р!$C$15:$AF$69,30,FALSE)</f>
        <v>#N/A</v>
      </c>
      <c r="N53" s="404" t="e">
        <f>VLOOKUP($B51,К_р!$C$15:$K$68,9,FALSE)</f>
        <v>#N/A</v>
      </c>
      <c r="O53" s="404">
        <f>VLOOKUP($B51,'15_р'!$C$17:$H$86,6,FALSE)</f>
        <v>0</v>
      </c>
      <c r="P53" s="448"/>
      <c r="Q53" s="468"/>
      <c r="R53" s="372"/>
      <c r="S53" s="404">
        <f>B51</f>
        <v>52</v>
      </c>
      <c r="T53" s="287" t="e">
        <f>$A51</f>
        <v>#N/A</v>
      </c>
      <c r="U53" s="287">
        <v>3</v>
      </c>
      <c r="V53" s="287" t="e">
        <f>$A51</f>
        <v>#N/A</v>
      </c>
      <c r="W53" s="449"/>
      <c r="X53" s="307"/>
      <c r="Y53" s="307"/>
      <c r="Z53" s="307"/>
      <c r="AA53" s="307"/>
      <c r="AB53" s="307"/>
      <c r="AC53" s="307"/>
      <c r="AD53" s="450"/>
      <c r="AE53" s="450"/>
      <c r="AF53" s="450"/>
      <c r="AH53" s="231"/>
      <c r="AI53" s="231"/>
      <c r="AJ53" s="404">
        <v>101</v>
      </c>
      <c r="AK53" s="231"/>
    </row>
    <row r="54" spans="1:37" s="280" customFormat="1" ht="13.2" customHeight="1" x14ac:dyDescent="0.35">
      <c r="A54" s="231"/>
      <c r="B54" s="404"/>
      <c r="C54" s="451" t="e">
        <f>VLOOKUP(B51,Уч!$A$2:$L$34,11,FALSE)</f>
        <v>#N/A</v>
      </c>
      <c r="D54" s="452"/>
      <c r="E54" s="509" t="s">
        <v>276</v>
      </c>
      <c r="F54" s="458">
        <f>F53</f>
        <v>876</v>
      </c>
      <c r="G54" s="404" t="e">
        <f>F54+G53</f>
        <v>#N/A</v>
      </c>
      <c r="H54" s="404" t="e">
        <f>G54+H53</f>
        <v>#N/A</v>
      </c>
      <c r="I54" s="404" t="e">
        <f>H54+I53</f>
        <v>#N/A</v>
      </c>
      <c r="J54" s="459" t="e">
        <f>SUM($F53:J53)</f>
        <v>#N/A</v>
      </c>
      <c r="K54" s="404" t="e">
        <f>SUM($F53:$K53)</f>
        <v>#N/A</v>
      </c>
      <c r="L54" s="404" t="e">
        <f>K54+L53</f>
        <v>#N/A</v>
      </c>
      <c r="M54" s="404" t="e">
        <f>L54+M53</f>
        <v>#N/A</v>
      </c>
      <c r="N54" s="404" t="e">
        <f>SUM($F53:$N53)</f>
        <v>#N/A</v>
      </c>
      <c r="O54" s="404" t="e">
        <f>SUM($F53:$O53)</f>
        <v>#N/A</v>
      </c>
      <c r="P54" s="448"/>
      <c r="Q54" s="468"/>
      <c r="R54" s="372"/>
      <c r="S54" s="404">
        <f>B51</f>
        <v>52</v>
      </c>
      <c r="T54" s="287" t="e">
        <f>$A51</f>
        <v>#N/A</v>
      </c>
      <c r="U54" s="287">
        <v>4</v>
      </c>
      <c r="V54" s="287" t="e">
        <f>$A51</f>
        <v>#N/A</v>
      </c>
      <c r="W54" s="372">
        <f t="shared" ref="W54:AF54" si="7">F54</f>
        <v>876</v>
      </c>
      <c r="X54" s="372" t="e">
        <f t="shared" si="7"/>
        <v>#N/A</v>
      </c>
      <c r="Y54" s="372" t="e">
        <f t="shared" si="7"/>
        <v>#N/A</v>
      </c>
      <c r="Z54" s="372" t="e">
        <f t="shared" si="7"/>
        <v>#N/A</v>
      </c>
      <c r="AA54" s="372" t="e">
        <f t="shared" si="7"/>
        <v>#N/A</v>
      </c>
      <c r="AB54" s="372" t="e">
        <f t="shared" si="7"/>
        <v>#N/A</v>
      </c>
      <c r="AC54" s="372" t="e">
        <f t="shared" si="7"/>
        <v>#N/A</v>
      </c>
      <c r="AD54" s="372" t="e">
        <f t="shared" si="7"/>
        <v>#N/A</v>
      </c>
      <c r="AE54" s="372" t="e">
        <f t="shared" si="7"/>
        <v>#N/A</v>
      </c>
      <c r="AF54" s="372" t="e">
        <f t="shared" si="7"/>
        <v>#N/A</v>
      </c>
      <c r="AH54" s="231"/>
      <c r="AI54" s="231"/>
      <c r="AJ54" s="404">
        <v>101</v>
      </c>
      <c r="AK54" s="231"/>
    </row>
    <row r="55" spans="1:37" s="280" customFormat="1" ht="13.2" customHeight="1" x14ac:dyDescent="0.25">
      <c r="A55" s="522"/>
      <c r="B55" s="523"/>
      <c r="C55" s="524" t="e">
        <f>VLOOKUP(B51,Уч!$A$2:$L$34,12,FALSE)</f>
        <v>#N/A</v>
      </c>
      <c r="D55" s="525"/>
      <c r="E55" s="509" t="s">
        <v>59</v>
      </c>
      <c r="F55" s="458" t="e">
        <f>RANK(F54,$W$19:$W$150,0)</f>
        <v>#N/A</v>
      </c>
      <c r="G55" s="523" t="e">
        <f>RANK(G54,$X$19:$X$150,0)</f>
        <v>#N/A</v>
      </c>
      <c r="H55" s="523" t="e">
        <f>RANK(H54,$Y$19:$Y$150,0)</f>
        <v>#N/A</v>
      </c>
      <c r="I55" s="523" t="e">
        <f>RANK(I54,$Z$19:$Z$150,0)</f>
        <v>#N/A</v>
      </c>
      <c r="J55" s="526" t="e">
        <f>RANK(J54,$AA$19:$AA$150,0)</f>
        <v>#N/A</v>
      </c>
      <c r="K55" s="523" t="e">
        <f>RANK(K54,$AB$19:$AB$150,0)</f>
        <v>#N/A</v>
      </c>
      <c r="L55" s="523" t="e">
        <f>RANK(L54,$AC$19:$AC$150,0)</f>
        <v>#N/A</v>
      </c>
      <c r="M55" s="523" t="e">
        <f>RANK(M54,$AD$19:$AD$150,0)</f>
        <v>#N/A</v>
      </c>
      <c r="N55" s="523" t="e">
        <f>RANK(N54,$AE$19:$AE$150,0)</f>
        <v>#N/A</v>
      </c>
      <c r="O55" s="523" t="e">
        <f>RANK(O54,$AF$19:$AF$150,0)</f>
        <v>#N/A</v>
      </c>
      <c r="P55" s="448"/>
      <c r="Q55" s="527"/>
      <c r="R55" s="527"/>
      <c r="S55" s="205">
        <f>B51</f>
        <v>52</v>
      </c>
      <c r="T55" s="287" t="e">
        <f>$A51</f>
        <v>#N/A</v>
      </c>
      <c r="U55" s="287">
        <v>5</v>
      </c>
      <c r="V55" s="287" t="e">
        <f>$A51</f>
        <v>#N/A</v>
      </c>
      <c r="W55" s="449"/>
      <c r="X55" s="307"/>
      <c r="Y55" s="307"/>
      <c r="Z55" s="307"/>
      <c r="AA55" s="307"/>
      <c r="AB55" s="307"/>
      <c r="AC55" s="307"/>
      <c r="AD55" s="450"/>
      <c r="AE55" s="450"/>
      <c r="AF55" s="450"/>
      <c r="AH55" s="231"/>
      <c r="AI55" s="231"/>
      <c r="AJ55" s="404">
        <v>101</v>
      </c>
      <c r="AK55" s="231"/>
    </row>
    <row r="56" spans="1:37" s="280" customFormat="1" ht="13.2" customHeight="1" x14ac:dyDescent="0.35">
      <c r="A56" s="529" t="e">
        <f>RANK(P56,$P$16:$P$150,0)</f>
        <v>#N/A</v>
      </c>
      <c r="B56" s="530">
        <v>33</v>
      </c>
      <c r="C56" s="531" t="e">
        <f>VLOOKUP(B56,Уч!$A$2:$L$34,2,FALSE)</f>
        <v>#N/A</v>
      </c>
      <c r="D56" s="532" t="e">
        <f>VLOOKUP(B56,Уч!$A$2:$L$34,3,FALSE)</f>
        <v>#N/A</v>
      </c>
      <c r="E56" s="536" t="s">
        <v>19</v>
      </c>
      <c r="F56" s="533" t="e">
        <f>VLOOKUP($B56,'100 м 1'!$C$18:$I$87,5,FALSE)</f>
        <v>#N/A</v>
      </c>
      <c r="G56" s="533" t="e">
        <f>VLOOKUP($B56,'длина 2 '!$C$16:$O$54,11,FALSE)</f>
        <v>#N/A</v>
      </c>
      <c r="H56" s="533" t="e">
        <f>VLOOKUP($B56,'ядро 2'!$C$16:$K$60,8,FALSE)</f>
        <v>#N/A</v>
      </c>
      <c r="I56" s="533" t="e">
        <f>VLOOKUP($B56,'высота 2'!$C$16:$AF$57,29,FALSE)</f>
        <v>#N/A</v>
      </c>
      <c r="J56" s="534" t="e">
        <f>VLOOKUP($B56,'4_р'!$C$17:$H$73,5,FALSE)</f>
        <v>#N/A</v>
      </c>
      <c r="K56" s="533" t="e">
        <f>VLOOKUP($B56,'1cб_р'!$C$17:$I$67,5,FALSE)</f>
        <v>#N/A</v>
      </c>
      <c r="L56" s="533" t="e">
        <f>VLOOKUP($B56,Дс_р!$C$16:$K$70,8,FALSE)</f>
        <v>#N/A</v>
      </c>
      <c r="M56" s="533">
        <f>VLOOKUP($B56,Ш_р!$C$15:$AF$69,29,FALSE)</f>
        <v>0</v>
      </c>
      <c r="N56" s="533">
        <f>VLOOKUP($B56,К_р!$C$15:$K$68,8,FALSE)</f>
        <v>52.92</v>
      </c>
      <c r="O56" s="530" t="e">
        <f>VLOOKUP($B56,'15_р'!$C$17:$H$86,5,FALSE)</f>
        <v>#N/A</v>
      </c>
      <c r="P56" s="535" t="e">
        <f>SUM(F58:O58)</f>
        <v>#N/A</v>
      </c>
      <c r="Q56" s="529" t="e">
        <f>LOOKUP(P56,Y$1:AH$1,Y$2:AH$2)</f>
        <v>#N/A</v>
      </c>
      <c r="R56" s="530" t="e">
        <f>AH56+AI56+5</f>
        <v>#N/A</v>
      </c>
      <c r="S56" s="404">
        <f>B56</f>
        <v>33</v>
      </c>
      <c r="T56" s="287" t="e">
        <f>$A56</f>
        <v>#N/A</v>
      </c>
      <c r="U56" s="287">
        <v>1</v>
      </c>
      <c r="V56" s="287" t="s">
        <v>162</v>
      </c>
      <c r="W56" s="307"/>
      <c r="X56" s="307"/>
      <c r="Y56" s="307"/>
      <c r="Z56" s="307"/>
      <c r="AA56" s="307"/>
      <c r="AB56" s="307"/>
      <c r="AC56" s="307"/>
      <c r="AD56" s="450"/>
      <c r="AE56" s="450"/>
      <c r="AF56" s="450"/>
      <c r="AH56" s="280" t="e">
        <f>IF(AND(T56&gt;16,P56&gt;=6200),"1",LOOKUP(T56,Y$5:AO$5,Y$6:AO$6))</f>
        <v>#N/A</v>
      </c>
      <c r="AI56" s="280" t="e">
        <f>LOOKUP(Q56,Y$8:AD$8,Y$9:AD$9)</f>
        <v>#N/A</v>
      </c>
      <c r="AJ56" s="404">
        <v>103</v>
      </c>
      <c r="AK56" s="287"/>
    </row>
    <row r="57" spans="1:37" s="280" customFormat="1" ht="13.2" customHeight="1" x14ac:dyDescent="0.35">
      <c r="A57" s="231"/>
      <c r="B57" s="404"/>
      <c r="C57" s="451" t="e">
        <f>VLOOKUP(B56,Уч!$A$2:$L$34,5,FALSE)</f>
        <v>#N/A</v>
      </c>
      <c r="D57" s="452" t="e">
        <f>VLOOKUP(B56,Уч!$A$2:$L$34,4,FALSE)</f>
        <v>#N/A</v>
      </c>
      <c r="E57" s="509" t="s">
        <v>25</v>
      </c>
      <c r="F57" s="453" t="e">
        <f>VLOOKUP($B56,'100 м 1'!$C$18:$I$87,6,FALSE)</f>
        <v>#N/A</v>
      </c>
      <c r="G57" s="454" t="e">
        <f>VLOOKUP($B56,'длина 2 '!$C$16:$O$54,12,FALSE)</f>
        <v>#N/A</v>
      </c>
      <c r="H57" s="404"/>
      <c r="I57" s="454"/>
      <c r="J57" s="455"/>
      <c r="K57" s="454" t="e">
        <f>VLOOKUP($B56,'1cб_р'!$C$17:$I$67,6,FALSE)</f>
        <v>#N/A</v>
      </c>
      <c r="L57" s="454"/>
      <c r="M57" s="454"/>
      <c r="N57" s="404"/>
      <c r="O57" s="404"/>
      <c r="P57" s="448"/>
      <c r="Q57" s="456"/>
      <c r="R57" s="404" t="e">
        <f>CONCATENATE(AH56,"+",AI56,"+",5)</f>
        <v>#N/A</v>
      </c>
      <c r="S57" s="404">
        <f>B56</f>
        <v>33</v>
      </c>
      <c r="T57" s="287" t="e">
        <f>$A56</f>
        <v>#N/A</v>
      </c>
      <c r="U57" s="287">
        <v>2</v>
      </c>
      <c r="V57" s="287" t="s">
        <v>162</v>
      </c>
      <c r="W57" s="307"/>
      <c r="X57" s="307"/>
      <c r="Y57" s="307"/>
      <c r="Z57" s="307"/>
      <c r="AA57" s="307"/>
      <c r="AB57" s="307"/>
      <c r="AC57" s="307"/>
      <c r="AD57" s="450"/>
      <c r="AE57" s="450"/>
      <c r="AF57" s="450"/>
      <c r="AH57" s="231"/>
      <c r="AI57" s="231"/>
      <c r="AJ57" s="404">
        <v>103</v>
      </c>
      <c r="AK57" s="287"/>
    </row>
    <row r="58" spans="1:37" s="280" customFormat="1" ht="13.2" customHeight="1" x14ac:dyDescent="0.35">
      <c r="A58" s="231"/>
      <c r="B58" s="404"/>
      <c r="C58" s="457" t="e">
        <f>VLOOKUP(B56,Уч!$A$2:$L$34,7,FALSE)</f>
        <v>#N/A</v>
      </c>
      <c r="D58" s="452"/>
      <c r="E58" s="509" t="s">
        <v>29</v>
      </c>
      <c r="F58" s="458" t="e">
        <f>VLOOKUP($B56,'100 м 1'!$C$18:$I$87,7,FALSE)</f>
        <v>#N/A</v>
      </c>
      <c r="G58" s="404" t="e">
        <f>VLOOKUP($B56,'длина 2 '!$C$16:$O$54,13,FALSE)</f>
        <v>#N/A</v>
      </c>
      <c r="H58" s="404" t="e">
        <f>VLOOKUP($B56,'ядро 2'!$C$16:$K$60,9,FALSE)</f>
        <v>#N/A</v>
      </c>
      <c r="I58" s="404" t="e">
        <f>VLOOKUP($B56,'высота 2'!$C$16:$AF$57,30,)</f>
        <v>#N/A</v>
      </c>
      <c r="J58" s="459" t="e">
        <f>VLOOKUP($B56,'4_р'!$C$17:$H$73,6,FALSE)</f>
        <v>#N/A</v>
      </c>
      <c r="K58" s="404" t="e">
        <f>VLOOKUP($B56,'1cб_р'!$C$17:$I$67,7,FALSE)</f>
        <v>#N/A</v>
      </c>
      <c r="L58" s="404" t="e">
        <f>VLOOKUP($B56,Дс_р!$C$16:$K$70,9,FALSE)</f>
        <v>#N/A</v>
      </c>
      <c r="M58" s="404">
        <f>VLOOKUP($B56,Ш_р!$C$15:$AF$69,30,FALSE)</f>
        <v>0</v>
      </c>
      <c r="N58" s="404">
        <f>VLOOKUP($B56,К_р!$C$15:$K$68,9,FALSE)</f>
        <v>632</v>
      </c>
      <c r="O58" s="404" t="e">
        <f>VLOOKUP($B56,'15_р'!$C$17:$H$86,6,FALSE)</f>
        <v>#N/A</v>
      </c>
      <c r="P58" s="448"/>
      <c r="Q58" s="291"/>
      <c r="R58" s="372"/>
      <c r="S58" s="404">
        <f>B56</f>
        <v>33</v>
      </c>
      <c r="T58" s="287" t="e">
        <f>$A56</f>
        <v>#N/A</v>
      </c>
      <c r="U58" s="287">
        <v>3</v>
      </c>
      <c r="V58" s="287" t="s">
        <v>162</v>
      </c>
      <c r="W58" s="307"/>
      <c r="X58" s="307"/>
      <c r="Y58" s="307"/>
      <c r="Z58" s="307"/>
      <c r="AA58" s="307"/>
      <c r="AB58" s="307"/>
      <c r="AC58" s="307"/>
      <c r="AD58" s="450"/>
      <c r="AE58" s="450"/>
      <c r="AF58" s="450"/>
      <c r="AH58" s="231"/>
      <c r="AI58" s="231"/>
      <c r="AJ58" s="404">
        <v>103</v>
      </c>
      <c r="AK58" s="287"/>
    </row>
    <row r="59" spans="1:37" s="280" customFormat="1" ht="13.2" customHeight="1" x14ac:dyDescent="0.35">
      <c r="A59" s="231"/>
      <c r="B59" s="404"/>
      <c r="C59" s="451" t="e">
        <f>VLOOKUP(B56,Уч!$A$2:$L$34,11,FALSE)</f>
        <v>#N/A</v>
      </c>
      <c r="D59" s="452"/>
      <c r="E59" s="509" t="s">
        <v>276</v>
      </c>
      <c r="F59" s="458" t="e">
        <f>F58</f>
        <v>#N/A</v>
      </c>
      <c r="G59" s="404" t="e">
        <f>F59+G58</f>
        <v>#N/A</v>
      </c>
      <c r="H59" s="404" t="e">
        <f>G59+H58</f>
        <v>#N/A</v>
      </c>
      <c r="I59" s="404" t="e">
        <f>H59+I58</f>
        <v>#N/A</v>
      </c>
      <c r="J59" s="459" t="e">
        <f>SUM($F58:J58)</f>
        <v>#N/A</v>
      </c>
      <c r="K59" s="404" t="e">
        <f>SUM($F58:$K58)</f>
        <v>#N/A</v>
      </c>
      <c r="L59" s="404" t="e">
        <f>K59+L58</f>
        <v>#N/A</v>
      </c>
      <c r="M59" s="404" t="e">
        <f>L59+M58</f>
        <v>#N/A</v>
      </c>
      <c r="N59" s="404" t="e">
        <f>SUM($F58:$N58)</f>
        <v>#N/A</v>
      </c>
      <c r="O59" s="404" t="e">
        <f>SUM($F58:$O58)</f>
        <v>#N/A</v>
      </c>
      <c r="P59" s="448"/>
      <c r="Q59" s="291"/>
      <c r="R59" s="372"/>
      <c r="S59" s="404">
        <f>B56</f>
        <v>33</v>
      </c>
      <c r="T59" s="287" t="e">
        <f>$A56</f>
        <v>#N/A</v>
      </c>
      <c r="U59" s="287">
        <v>4</v>
      </c>
      <c r="V59" s="287" t="s">
        <v>162</v>
      </c>
      <c r="W59" s="372" t="e">
        <f t="shared" ref="W59:AF59" si="8">F59</f>
        <v>#N/A</v>
      </c>
      <c r="X59" s="372" t="e">
        <f t="shared" si="8"/>
        <v>#N/A</v>
      </c>
      <c r="Y59" s="372" t="e">
        <f t="shared" si="8"/>
        <v>#N/A</v>
      </c>
      <c r="Z59" s="372" t="e">
        <f t="shared" si="8"/>
        <v>#N/A</v>
      </c>
      <c r="AA59" s="372" t="e">
        <f t="shared" si="8"/>
        <v>#N/A</v>
      </c>
      <c r="AB59" s="372" t="e">
        <f t="shared" si="8"/>
        <v>#N/A</v>
      </c>
      <c r="AC59" s="372" t="e">
        <f t="shared" si="8"/>
        <v>#N/A</v>
      </c>
      <c r="AD59" s="372" t="e">
        <f t="shared" si="8"/>
        <v>#N/A</v>
      </c>
      <c r="AE59" s="372" t="e">
        <f t="shared" si="8"/>
        <v>#N/A</v>
      </c>
      <c r="AF59" s="372" t="e">
        <f t="shared" si="8"/>
        <v>#N/A</v>
      </c>
      <c r="AH59" s="231"/>
      <c r="AI59" s="231"/>
      <c r="AJ59" s="404">
        <v>103</v>
      </c>
      <c r="AK59" s="287"/>
    </row>
    <row r="60" spans="1:37" s="280" customFormat="1" ht="13.2" customHeight="1" x14ac:dyDescent="0.25">
      <c r="A60" s="522"/>
      <c r="B60" s="523"/>
      <c r="C60" s="524" t="e">
        <f>VLOOKUP(B56,Уч!$A$2:$L$34,12,FALSE)</f>
        <v>#N/A</v>
      </c>
      <c r="D60" s="525"/>
      <c r="E60" s="509" t="s">
        <v>59</v>
      </c>
      <c r="F60" s="458" t="e">
        <f>RANK(F59,$W$19:$W$150,0)</f>
        <v>#N/A</v>
      </c>
      <c r="G60" s="523" t="e">
        <f>RANK(G59,$X$19:$X$150,0)</f>
        <v>#N/A</v>
      </c>
      <c r="H60" s="523" t="e">
        <f>RANK(H59,$Y$19:$Y$150,0)</f>
        <v>#N/A</v>
      </c>
      <c r="I60" s="523" t="e">
        <f>RANK(I59,$Z$19:$Z$150,0)</f>
        <v>#N/A</v>
      </c>
      <c r="J60" s="526" t="e">
        <f>RANK(J59,$AA$19:$AA$150,0)</f>
        <v>#N/A</v>
      </c>
      <c r="K60" s="523" t="e">
        <f>RANK(K59,$AB$19:$AB$150,0)</f>
        <v>#N/A</v>
      </c>
      <c r="L60" s="523" t="e">
        <f>RANK(L59,$AC$19:$AC$150,0)</f>
        <v>#N/A</v>
      </c>
      <c r="M60" s="523" t="e">
        <f>RANK(M59,$AD$19:$AD$150,0)</f>
        <v>#N/A</v>
      </c>
      <c r="N60" s="523" t="e">
        <f>RANK(N59,$AE$19:$AE$150,0)</f>
        <v>#N/A</v>
      </c>
      <c r="O60" s="523" t="e">
        <f>RANK(O59,$AF$19:$AF$150,0)</f>
        <v>#N/A</v>
      </c>
      <c r="P60" s="448"/>
      <c r="Q60" s="527"/>
      <c r="R60" s="527"/>
      <c r="S60" s="205">
        <f>B56</f>
        <v>33</v>
      </c>
      <c r="T60" s="287" t="e">
        <f>$A56</f>
        <v>#N/A</v>
      </c>
      <c r="U60" s="287">
        <v>5</v>
      </c>
      <c r="V60" s="287" t="s">
        <v>162</v>
      </c>
      <c r="W60" s="449"/>
      <c r="X60" s="307"/>
      <c r="Y60" s="307"/>
      <c r="Z60" s="307"/>
      <c r="AA60" s="307"/>
      <c r="AB60" s="307"/>
      <c r="AC60" s="307"/>
      <c r="AD60" s="450"/>
      <c r="AE60" s="450"/>
      <c r="AF60" s="450"/>
      <c r="AH60" s="231"/>
      <c r="AI60" s="231"/>
      <c r="AJ60" s="404">
        <v>103</v>
      </c>
      <c r="AK60" s="231"/>
    </row>
    <row r="61" spans="1:37" s="280" customFormat="1" ht="13.2" customHeight="1" x14ac:dyDescent="0.35">
      <c r="A61" s="529" t="e">
        <f>RANK(P61,$P$16:$P$150,0)</f>
        <v>#N/A</v>
      </c>
      <c r="B61" s="530">
        <v>53</v>
      </c>
      <c r="C61" s="531" t="e">
        <f>VLOOKUP(B61,Уч!$A$2:$L$34,2,FALSE)</f>
        <v>#N/A</v>
      </c>
      <c r="D61" s="532" t="e">
        <f>VLOOKUP(B61,Уч!$A$2:$L$34,3,FALSE)</f>
        <v>#N/A</v>
      </c>
      <c r="E61" s="536" t="s">
        <v>19</v>
      </c>
      <c r="F61" s="533">
        <f>VLOOKUP($B61,'100 м 1'!$C$18:$I$87,5,FALSE)</f>
        <v>10.91</v>
      </c>
      <c r="G61" s="533" t="e">
        <f>VLOOKUP($B61,'длина 2 '!$C$16:$O$54,11,FALSE)</f>
        <v>#N/A</v>
      </c>
      <c r="H61" s="533" t="e">
        <f>VLOOKUP($B61,'ядро 2'!$C$16:$K$60,8,FALSE)</f>
        <v>#N/A</v>
      </c>
      <c r="I61" s="533" t="e">
        <f>VLOOKUP($B61,'высота 2'!$C$16:$AF$57,29,FALSE)</f>
        <v>#N/A</v>
      </c>
      <c r="J61" s="534" t="e">
        <f>VLOOKUP($B61,'4_р'!$C$17:$H$73,5,FALSE)</f>
        <v>#N/A</v>
      </c>
      <c r="K61" s="533" t="e">
        <f>VLOOKUP($B61,'1cб_р'!$C$17:$I$67,5,FALSE)</f>
        <v>#N/A</v>
      </c>
      <c r="L61" s="533" t="e">
        <f>VLOOKUP($B61,Дс_р!$C$16:$K$70,8,FALSE)</f>
        <v>#N/A</v>
      </c>
      <c r="M61" s="533" t="e">
        <f>VLOOKUP($B61,Ш_р!$C$15:$AF$69,29,FALSE)</f>
        <v>#N/A</v>
      </c>
      <c r="N61" s="533" t="e">
        <f>VLOOKUP($B61,К_р!$C$15:$K$68,8,FALSE)</f>
        <v>#N/A</v>
      </c>
      <c r="O61" s="530" t="e">
        <f>VLOOKUP($B61,'15_р'!$C$17:$H$86,5,FALSE)</f>
        <v>#N/A</v>
      </c>
      <c r="P61" s="535" t="e">
        <f>SUM(F63:O63)</f>
        <v>#N/A</v>
      </c>
      <c r="Q61" s="529" t="e">
        <f>LOOKUP(P61,Y$1:AH$1,Y$2:AH$2)</f>
        <v>#N/A</v>
      </c>
      <c r="R61" s="530" t="e">
        <f>AH61+AI61+5</f>
        <v>#N/A</v>
      </c>
      <c r="S61" s="404">
        <f>B61</f>
        <v>53</v>
      </c>
      <c r="T61" s="287" t="e">
        <f>$A61</f>
        <v>#N/A</v>
      </c>
      <c r="U61" s="287">
        <v>1</v>
      </c>
      <c r="V61" s="287" t="e">
        <f>$A61</f>
        <v>#N/A</v>
      </c>
      <c r="W61" s="449"/>
      <c r="X61" s="307"/>
      <c r="Y61" s="307"/>
      <c r="Z61" s="307"/>
      <c r="AA61" s="307"/>
      <c r="AB61" s="307"/>
      <c r="AC61" s="307"/>
      <c r="AD61" s="450"/>
      <c r="AE61" s="450"/>
      <c r="AF61" s="450"/>
      <c r="AH61" s="280" t="e">
        <f>IF(AND(T61&gt;16,P61&gt;=6200),"1",LOOKUP(T61,Y$5:AO$5,Y$6:AO$6))</f>
        <v>#N/A</v>
      </c>
      <c r="AI61" s="280" t="e">
        <f>LOOKUP(Q61,Y$8:AD$8,Y$9:AD$9)</f>
        <v>#N/A</v>
      </c>
      <c r="AJ61" s="404">
        <v>162</v>
      </c>
      <c r="AK61" s="231"/>
    </row>
    <row r="62" spans="1:37" s="280" customFormat="1" ht="13.2" customHeight="1" x14ac:dyDescent="0.35">
      <c r="A62" s="231"/>
      <c r="B62" s="404"/>
      <c r="C62" s="451" t="e">
        <f>VLOOKUP(B61,Уч!$A$2:$L$34,5,FALSE)</f>
        <v>#N/A</v>
      </c>
      <c r="D62" s="444" t="e">
        <f>VLOOKUP(B61,Уч!$A$2:$L$34,4,FALSE)</f>
        <v>#N/A</v>
      </c>
      <c r="E62" s="509" t="s">
        <v>25</v>
      </c>
      <c r="F62" s="453">
        <f>VLOOKUP($B61,'100 м 1'!$C$18:$I$87,6,FALSE)</f>
        <v>1</v>
      </c>
      <c r="G62" s="454" t="e">
        <f>VLOOKUP($B61,'длина 2 '!$C$16:$O$54,12,FALSE)</f>
        <v>#N/A</v>
      </c>
      <c r="H62" s="404"/>
      <c r="I62" s="454"/>
      <c r="J62" s="455"/>
      <c r="K62" s="454" t="e">
        <f>VLOOKUP($B61,'1cб_р'!$C$17:$I$67,6,FALSE)</f>
        <v>#N/A</v>
      </c>
      <c r="L62" s="454"/>
      <c r="M62" s="454"/>
      <c r="N62" s="404"/>
      <c r="O62" s="404"/>
      <c r="P62" s="448"/>
      <c r="Q62" s="456"/>
      <c r="R62" s="404" t="e">
        <f>CONCATENATE(AH61,"+",AI61,"+",5)</f>
        <v>#N/A</v>
      </c>
      <c r="S62" s="404">
        <f>B61</f>
        <v>53</v>
      </c>
      <c r="T62" s="287" t="e">
        <f>$A61</f>
        <v>#N/A</v>
      </c>
      <c r="U62" s="287">
        <v>2</v>
      </c>
      <c r="V62" s="287" t="e">
        <f>$A61</f>
        <v>#N/A</v>
      </c>
      <c r="W62" s="449"/>
      <c r="X62" s="307"/>
      <c r="Y62" s="307"/>
      <c r="Z62" s="307"/>
      <c r="AA62" s="307"/>
      <c r="AB62" s="307"/>
      <c r="AC62" s="307"/>
      <c r="AD62" s="450"/>
      <c r="AE62" s="450"/>
      <c r="AF62" s="450"/>
      <c r="AH62" s="231"/>
      <c r="AI62" s="231"/>
      <c r="AJ62" s="404">
        <v>162</v>
      </c>
      <c r="AK62" s="231"/>
    </row>
    <row r="63" spans="1:37" s="280" customFormat="1" ht="13.2" customHeight="1" x14ac:dyDescent="0.35">
      <c r="A63" s="231"/>
      <c r="B63" s="404"/>
      <c r="C63" s="457" t="e">
        <f>VLOOKUP(B61,Уч!$A$2:$L$34,7,FALSE)</f>
        <v>#N/A</v>
      </c>
      <c r="D63" s="444"/>
      <c r="E63" s="509" t="s">
        <v>29</v>
      </c>
      <c r="F63" s="458">
        <f>VLOOKUP($B61,'100 м 1'!$C$18:$I$87,7,FALSE)</f>
        <v>881</v>
      </c>
      <c r="G63" s="404" t="e">
        <f>VLOOKUP($B61,'длина 2 '!$C$16:$O$54,13,FALSE)</f>
        <v>#N/A</v>
      </c>
      <c r="H63" s="404" t="e">
        <f>VLOOKUP($B61,'ядро 2'!$C$16:$K$60,9,FALSE)</f>
        <v>#N/A</v>
      </c>
      <c r="I63" s="404" t="e">
        <f>VLOOKUP($B61,'высота 2'!$C$16:$AF$57,30,)</f>
        <v>#N/A</v>
      </c>
      <c r="J63" s="459" t="e">
        <f>VLOOKUP($B61,'4_р'!$C$17:$H$73,6,FALSE)</f>
        <v>#N/A</v>
      </c>
      <c r="K63" s="404" t="e">
        <f>VLOOKUP($B61,'1cб_р'!$C$17:$I$67,7,FALSE)</f>
        <v>#N/A</v>
      </c>
      <c r="L63" s="404" t="e">
        <f>VLOOKUP($B61,Дс_р!$C$16:$K$70,9,FALSE)</f>
        <v>#N/A</v>
      </c>
      <c r="M63" s="404" t="e">
        <f>VLOOKUP($B61,Ш_р!$C$15:$AF$69,30,FALSE)</f>
        <v>#N/A</v>
      </c>
      <c r="N63" s="404" t="e">
        <f>VLOOKUP($B61,К_р!$C$15:$K$68,9,FALSE)</f>
        <v>#N/A</v>
      </c>
      <c r="O63" s="404" t="e">
        <f>VLOOKUP($B61,'15_р'!$C$17:$H$86,6,FALSE)</f>
        <v>#N/A</v>
      </c>
      <c r="P63" s="448"/>
      <c r="Q63" s="372"/>
      <c r="R63" s="372"/>
      <c r="S63" s="404">
        <f>B61</f>
        <v>53</v>
      </c>
      <c r="T63" s="287" t="e">
        <f>$A61</f>
        <v>#N/A</v>
      </c>
      <c r="U63" s="287">
        <v>3</v>
      </c>
      <c r="V63" s="287" t="e">
        <f>$A61</f>
        <v>#N/A</v>
      </c>
      <c r="W63" s="449"/>
      <c r="X63" s="307"/>
      <c r="Y63" s="307"/>
      <c r="Z63" s="307"/>
      <c r="AA63" s="307"/>
      <c r="AB63" s="307"/>
      <c r="AC63" s="307"/>
      <c r="AD63" s="450"/>
      <c r="AE63" s="450"/>
      <c r="AF63" s="450"/>
      <c r="AH63" s="231"/>
      <c r="AI63" s="231"/>
      <c r="AJ63" s="404">
        <v>162</v>
      </c>
      <c r="AK63" s="231"/>
    </row>
    <row r="64" spans="1:37" s="280" customFormat="1" ht="13.2" customHeight="1" x14ac:dyDescent="0.35">
      <c r="A64" s="231"/>
      <c r="B64" s="404"/>
      <c r="C64" s="451" t="e">
        <f>VLOOKUP(B61,Уч!$A$2:$L$34,11,FALSE)</f>
        <v>#N/A</v>
      </c>
      <c r="D64" s="444"/>
      <c r="E64" s="509" t="s">
        <v>276</v>
      </c>
      <c r="F64" s="458">
        <f>F63</f>
        <v>881</v>
      </c>
      <c r="G64" s="404" t="e">
        <f>F64+G63</f>
        <v>#N/A</v>
      </c>
      <c r="H64" s="404" t="e">
        <f>G64+H63</f>
        <v>#N/A</v>
      </c>
      <c r="I64" s="404" t="e">
        <f>H64+I63</f>
        <v>#N/A</v>
      </c>
      <c r="J64" s="459" t="e">
        <f>SUM($F63:J63)</f>
        <v>#N/A</v>
      </c>
      <c r="K64" s="404" t="e">
        <f>SUM($F63:$K63)</f>
        <v>#N/A</v>
      </c>
      <c r="L64" s="404" t="e">
        <f>K64+L63</f>
        <v>#N/A</v>
      </c>
      <c r="M64" s="404" t="e">
        <f>L64+M63</f>
        <v>#N/A</v>
      </c>
      <c r="N64" s="404" t="e">
        <f>SUM($F63:$N63)</f>
        <v>#N/A</v>
      </c>
      <c r="O64" s="404" t="e">
        <f>SUM($F63:$O63)</f>
        <v>#N/A</v>
      </c>
      <c r="P64" s="448"/>
      <c r="Q64" s="372"/>
      <c r="R64" s="372"/>
      <c r="S64" s="404">
        <f>B61</f>
        <v>53</v>
      </c>
      <c r="T64" s="287" t="e">
        <f>$A61</f>
        <v>#N/A</v>
      </c>
      <c r="U64" s="287">
        <v>4</v>
      </c>
      <c r="V64" s="287" t="e">
        <f>$A61</f>
        <v>#N/A</v>
      </c>
      <c r="W64" s="372">
        <f t="shared" ref="W64:AF64" si="9">F64</f>
        <v>881</v>
      </c>
      <c r="X64" s="372" t="e">
        <f t="shared" si="9"/>
        <v>#N/A</v>
      </c>
      <c r="Y64" s="372" t="e">
        <f t="shared" si="9"/>
        <v>#N/A</v>
      </c>
      <c r="Z64" s="372" t="e">
        <f t="shared" si="9"/>
        <v>#N/A</v>
      </c>
      <c r="AA64" s="372" t="e">
        <f t="shared" si="9"/>
        <v>#N/A</v>
      </c>
      <c r="AB64" s="372" t="e">
        <f t="shared" si="9"/>
        <v>#N/A</v>
      </c>
      <c r="AC64" s="372" t="e">
        <f t="shared" si="9"/>
        <v>#N/A</v>
      </c>
      <c r="AD64" s="372" t="e">
        <f t="shared" si="9"/>
        <v>#N/A</v>
      </c>
      <c r="AE64" s="372" t="e">
        <f t="shared" si="9"/>
        <v>#N/A</v>
      </c>
      <c r="AF64" s="372" t="e">
        <f t="shared" si="9"/>
        <v>#N/A</v>
      </c>
      <c r="AH64" s="231"/>
      <c r="AI64" s="231"/>
      <c r="AJ64" s="404">
        <v>162</v>
      </c>
      <c r="AK64" s="231"/>
    </row>
    <row r="65" spans="1:37" s="280" customFormat="1" ht="13.2" customHeight="1" x14ac:dyDescent="0.25">
      <c r="A65" s="522"/>
      <c r="B65" s="523"/>
      <c r="C65" s="524" t="e">
        <f>VLOOKUP(B61,Уч!$A$2:$L$34,12,FALSE)</f>
        <v>#N/A</v>
      </c>
      <c r="D65" s="528"/>
      <c r="E65" s="509" t="s">
        <v>59</v>
      </c>
      <c r="F65" s="458" t="e">
        <f>RANK(F64,$W$19:$W$150,0)</f>
        <v>#N/A</v>
      </c>
      <c r="G65" s="523" t="e">
        <f>RANK(G64,$X$19:$X$150,0)</f>
        <v>#N/A</v>
      </c>
      <c r="H65" s="523" t="e">
        <f>RANK(H64,$Y$19:$Y$150,0)</f>
        <v>#N/A</v>
      </c>
      <c r="I65" s="523" t="e">
        <f>RANK(I64,$Z$19:$Z$150,0)</f>
        <v>#N/A</v>
      </c>
      <c r="J65" s="526" t="e">
        <f>RANK(J64,$AA$19:$AA$150,0)</f>
        <v>#N/A</v>
      </c>
      <c r="K65" s="523" t="e">
        <f>RANK(K64,$AB$19:$AB$150,0)</f>
        <v>#N/A</v>
      </c>
      <c r="L65" s="523" t="e">
        <f>RANK(L64,$AC$19:$AC$150,0)</f>
        <v>#N/A</v>
      </c>
      <c r="M65" s="523" t="e">
        <f>RANK(M64,$AD$19:$AD$150,0)</f>
        <v>#N/A</v>
      </c>
      <c r="N65" s="523" t="e">
        <f>RANK(N64,$AE$19:$AE$150,0)</f>
        <v>#N/A</v>
      </c>
      <c r="O65" s="523" t="e">
        <f>RANK(O64,$AF$19:$AF$150,0)</f>
        <v>#N/A</v>
      </c>
      <c r="P65" s="448"/>
      <c r="Q65" s="527"/>
      <c r="R65" s="527"/>
      <c r="S65" s="205">
        <f>B61</f>
        <v>53</v>
      </c>
      <c r="T65" s="287" t="e">
        <f>$A61</f>
        <v>#N/A</v>
      </c>
      <c r="U65" s="287">
        <v>5</v>
      </c>
      <c r="V65" s="287" t="e">
        <f>$A61</f>
        <v>#N/A</v>
      </c>
      <c r="W65" s="449"/>
      <c r="X65" s="307"/>
      <c r="Y65" s="307"/>
      <c r="Z65" s="307"/>
      <c r="AA65" s="307"/>
      <c r="AB65" s="307"/>
      <c r="AC65" s="307"/>
      <c r="AD65" s="450"/>
      <c r="AE65" s="450"/>
      <c r="AF65" s="450"/>
      <c r="AH65" s="231"/>
      <c r="AI65" s="231"/>
      <c r="AJ65" s="404">
        <v>162</v>
      </c>
      <c r="AK65" s="231"/>
    </row>
    <row r="66" spans="1:37" s="280" customFormat="1" ht="13.2" customHeight="1" x14ac:dyDescent="0.35">
      <c r="A66" s="529" t="e">
        <f>RANK(P66,$P$16:$P$150,0)</f>
        <v>#N/A</v>
      </c>
      <c r="B66" s="530">
        <v>24</v>
      </c>
      <c r="C66" s="531" t="e">
        <f>VLOOKUP(B66,Уч!$A$2:$L$34,2,FALSE)</f>
        <v>#N/A</v>
      </c>
      <c r="D66" s="532" t="e">
        <f>VLOOKUP(B66,Уч!$A$2:$L$34,3,FALSE)</f>
        <v>#N/A</v>
      </c>
      <c r="E66" s="536" t="s">
        <v>19</v>
      </c>
      <c r="F66" s="533">
        <f>VLOOKUP($B66,'100 м 1'!$C$18:$I$87,5,FALSE)</f>
        <v>11.15</v>
      </c>
      <c r="G66" s="533" t="e">
        <f>VLOOKUP($B66,'длина 2 '!$C$16:$O$54,11,FALSE)</f>
        <v>#N/A</v>
      </c>
      <c r="H66" s="533" t="e">
        <f>VLOOKUP($B66,'ядро 2'!$C$16:$K$60,8,FALSE)</f>
        <v>#N/A</v>
      </c>
      <c r="I66" s="533" t="e">
        <f>VLOOKUP($B66,'высота 2'!$C$16:$AF$57,29,FALSE)</f>
        <v>#N/A</v>
      </c>
      <c r="J66" s="534">
        <f>VLOOKUP($B66,'4_р'!$C$17:$H$73,5,FALSE)</f>
        <v>54.8</v>
      </c>
      <c r="K66" s="533">
        <f>VLOOKUP($B66,'1cб_р'!$C$17:$I$67,5,FALSE)</f>
        <v>17.36</v>
      </c>
      <c r="L66" s="533">
        <f>VLOOKUP($B66,Дс_р!$C$16:$K$70,8,FALSE)</f>
        <v>29.35</v>
      </c>
      <c r="M66" s="533">
        <f>VLOOKUP($B66,Ш_р!$C$15:$AF$69,29,FALSE)</f>
        <v>0</v>
      </c>
      <c r="N66" s="533">
        <f>VLOOKUP($B66,К_р!$C$15:$K$68,8,FALSE)</f>
        <v>45.16</v>
      </c>
      <c r="O66" s="530" t="str">
        <f>VLOOKUP($B66,'15_р'!$C$17:$H$86,5,FALSE)</f>
        <v>4:51.71</v>
      </c>
      <c r="P66" s="535" t="e">
        <f>SUM(F68:O68)</f>
        <v>#N/A</v>
      </c>
      <c r="Q66" s="529" t="e">
        <f>LOOKUP(P66,Y$1:AH$1,Y$2:AH$2)</f>
        <v>#N/A</v>
      </c>
      <c r="R66" s="530" t="e">
        <f>AH66+AI66+5</f>
        <v>#N/A</v>
      </c>
      <c r="S66" s="404">
        <f>B66</f>
        <v>24</v>
      </c>
      <c r="T66" s="287" t="e">
        <f>$A66</f>
        <v>#N/A</v>
      </c>
      <c r="U66" s="287">
        <v>1</v>
      </c>
      <c r="V66" s="287" t="e">
        <f>$A66</f>
        <v>#N/A</v>
      </c>
      <c r="W66" s="449"/>
      <c r="X66" s="307"/>
      <c r="Y66" s="307"/>
      <c r="Z66" s="307"/>
      <c r="AA66" s="307"/>
      <c r="AB66" s="307"/>
      <c r="AC66" s="307"/>
      <c r="AD66" s="450"/>
      <c r="AE66" s="450"/>
      <c r="AF66" s="450"/>
      <c r="AH66" s="280" t="e">
        <f>IF(AND(T66&gt;16,P66&gt;=6200),"1",LOOKUP(T66,Y$5:AO$5,Y$6:AO$6))</f>
        <v>#N/A</v>
      </c>
      <c r="AI66" s="280" t="e">
        <f>LOOKUP(Q66,Y$8:AD$8,Y$9:AD$9)</f>
        <v>#N/A</v>
      </c>
      <c r="AJ66" s="404">
        <v>180</v>
      </c>
      <c r="AK66" s="231"/>
    </row>
    <row r="67" spans="1:37" s="280" customFormat="1" ht="13.2" customHeight="1" x14ac:dyDescent="0.35">
      <c r="A67" s="231"/>
      <c r="B67" s="404"/>
      <c r="C67" s="451" t="e">
        <f>VLOOKUP(B66,Уч!$A$2:$L$34,5,FALSE)</f>
        <v>#N/A</v>
      </c>
      <c r="D67" s="444" t="e">
        <f>VLOOKUP(B66,Уч!$A$2:$L$34,4,FALSE)</f>
        <v>#N/A</v>
      </c>
      <c r="E67" s="509" t="s">
        <v>25</v>
      </c>
      <c r="F67" s="453">
        <f>VLOOKUP($B66,'100 м 1'!$C$18:$I$87,6,FALSE)</f>
        <v>1</v>
      </c>
      <c r="G67" s="454" t="e">
        <f>VLOOKUP($B66,'длина 2 '!$C$16:$O$54,12,FALSE)</f>
        <v>#N/A</v>
      </c>
      <c r="H67" s="404"/>
      <c r="I67" s="454"/>
      <c r="J67" s="455"/>
      <c r="K67" s="454">
        <f>VLOOKUP($B66,'1cб_р'!$C$17:$I$67,6,FALSE)</f>
        <v>0</v>
      </c>
      <c r="L67" s="454"/>
      <c r="M67" s="454"/>
      <c r="N67" s="404"/>
      <c r="O67" s="404"/>
      <c r="P67" s="448"/>
      <c r="Q67" s="456"/>
      <c r="R67" s="404" t="e">
        <f>CONCATENATE(AH66,"+",AI66,"+",5)</f>
        <v>#N/A</v>
      </c>
      <c r="S67" s="404">
        <f>B66</f>
        <v>24</v>
      </c>
      <c r="T67" s="287" t="e">
        <f>$A66</f>
        <v>#N/A</v>
      </c>
      <c r="U67" s="287">
        <v>2</v>
      </c>
      <c r="V67" s="287" t="e">
        <f>$A66</f>
        <v>#N/A</v>
      </c>
      <c r="W67" s="449"/>
      <c r="X67" s="307"/>
      <c r="Y67" s="307"/>
      <c r="Z67" s="307"/>
      <c r="AA67" s="307"/>
      <c r="AB67" s="307"/>
      <c r="AC67" s="307"/>
      <c r="AD67" s="450"/>
      <c r="AE67" s="450"/>
      <c r="AF67" s="450"/>
      <c r="AH67" s="231"/>
      <c r="AI67" s="231"/>
      <c r="AJ67" s="404">
        <v>180</v>
      </c>
      <c r="AK67" s="231"/>
    </row>
    <row r="68" spans="1:37" s="280" customFormat="1" ht="13.2" customHeight="1" x14ac:dyDescent="0.35">
      <c r="A68" s="231"/>
      <c r="B68" s="404"/>
      <c r="C68" s="457" t="e">
        <f>VLOOKUP(B66,Уч!$A$2:$L$34,7,FALSE)</f>
        <v>#N/A</v>
      </c>
      <c r="D68" s="444"/>
      <c r="E68" s="509" t="s">
        <v>29</v>
      </c>
      <c r="F68" s="458">
        <f>VLOOKUP($B66,'100 м 1'!$C$18:$I$87,7,FALSE)</f>
        <v>827</v>
      </c>
      <c r="G68" s="404" t="e">
        <f>VLOOKUP($B66,'длина 2 '!$C$16:$O$54,13,FALSE)</f>
        <v>#N/A</v>
      </c>
      <c r="H68" s="404" t="e">
        <f>VLOOKUP($B66,'ядро 2'!$C$16:$K$60,9,FALSE)</f>
        <v>#N/A</v>
      </c>
      <c r="I68" s="404" t="e">
        <f>VLOOKUP($B66,'высота 2'!$C$16:$AF$57,30,)</f>
        <v>#N/A</v>
      </c>
      <c r="J68" s="459">
        <f>VLOOKUP($B66,'4_р'!$C$17:$H$73,6,FALSE)</f>
        <v>607</v>
      </c>
      <c r="K68" s="404">
        <f>VLOOKUP($B66,'1cб_р'!$C$17:$I$67,7,FALSE)</f>
        <v>587</v>
      </c>
      <c r="L68" s="404">
        <f>VLOOKUP($B66,Дс_р!$C$16:$K$70,9,FALSE)</f>
        <v>452</v>
      </c>
      <c r="M68" s="404">
        <f>VLOOKUP($B66,Ш_р!$C$15:$AF$69,30,FALSE)</f>
        <v>0</v>
      </c>
      <c r="N68" s="404">
        <f>VLOOKUP($B66,К_р!$C$15:$K$68,9,FALSE)</f>
        <v>517</v>
      </c>
      <c r="O68" s="404">
        <f>VLOOKUP($B66,'15_р'!$C$17:$H$86,6,FALSE)</f>
        <v>608</v>
      </c>
      <c r="P68" s="448"/>
      <c r="Q68" s="468"/>
      <c r="R68" s="372"/>
      <c r="S68" s="404">
        <f>B66</f>
        <v>24</v>
      </c>
      <c r="T68" s="287" t="e">
        <f>$A66</f>
        <v>#N/A</v>
      </c>
      <c r="U68" s="287">
        <v>3</v>
      </c>
      <c r="V68" s="287" t="e">
        <f>$A66</f>
        <v>#N/A</v>
      </c>
      <c r="W68" s="449"/>
      <c r="X68" s="307"/>
      <c r="Y68" s="307"/>
      <c r="Z68" s="307"/>
      <c r="AA68" s="307"/>
      <c r="AB68" s="307"/>
      <c r="AC68" s="307"/>
      <c r="AD68" s="450"/>
      <c r="AE68" s="450"/>
      <c r="AF68" s="450"/>
      <c r="AH68" s="231"/>
      <c r="AI68" s="231"/>
      <c r="AJ68" s="404">
        <v>180</v>
      </c>
      <c r="AK68" s="231"/>
    </row>
    <row r="69" spans="1:37" s="280" customFormat="1" ht="13.2" customHeight="1" x14ac:dyDescent="0.35">
      <c r="A69" s="231"/>
      <c r="B69" s="404"/>
      <c r="C69" s="451" t="e">
        <f>VLOOKUP(B66,Уч!$A$2:$L$34,11,FALSE)</f>
        <v>#N/A</v>
      </c>
      <c r="D69" s="444"/>
      <c r="E69" s="509" t="s">
        <v>276</v>
      </c>
      <c r="F69" s="458">
        <f>F68</f>
        <v>827</v>
      </c>
      <c r="G69" s="404" t="e">
        <f>F69+G68</f>
        <v>#N/A</v>
      </c>
      <c r="H69" s="404" t="e">
        <f>G69+H68</f>
        <v>#N/A</v>
      </c>
      <c r="I69" s="404" t="e">
        <f>H69+I68</f>
        <v>#N/A</v>
      </c>
      <c r="J69" s="459" t="e">
        <f>SUM($F68:J68)</f>
        <v>#N/A</v>
      </c>
      <c r="K69" s="404" t="e">
        <f>SUM($F68:$K68)</f>
        <v>#N/A</v>
      </c>
      <c r="L69" s="404" t="e">
        <f>K69+L68</f>
        <v>#N/A</v>
      </c>
      <c r="M69" s="404" t="e">
        <f>L69+M68</f>
        <v>#N/A</v>
      </c>
      <c r="N69" s="404" t="e">
        <f>SUM($F68:$N68)</f>
        <v>#N/A</v>
      </c>
      <c r="O69" s="404" t="e">
        <f>SUM($F68:$O68)</f>
        <v>#N/A</v>
      </c>
      <c r="P69" s="448"/>
      <c r="Q69" s="456"/>
      <c r="R69" s="372"/>
      <c r="S69" s="404">
        <f>B66</f>
        <v>24</v>
      </c>
      <c r="T69" s="287" t="e">
        <f>$A66</f>
        <v>#N/A</v>
      </c>
      <c r="U69" s="287">
        <v>4</v>
      </c>
      <c r="V69" s="287" t="e">
        <f>$A66</f>
        <v>#N/A</v>
      </c>
      <c r="W69" s="372">
        <f t="shared" ref="W69:AF69" si="10">F69</f>
        <v>827</v>
      </c>
      <c r="X69" s="372" t="e">
        <f t="shared" si="10"/>
        <v>#N/A</v>
      </c>
      <c r="Y69" s="372" t="e">
        <f t="shared" si="10"/>
        <v>#N/A</v>
      </c>
      <c r="Z69" s="372" t="e">
        <f t="shared" si="10"/>
        <v>#N/A</v>
      </c>
      <c r="AA69" s="372" t="e">
        <f t="shared" si="10"/>
        <v>#N/A</v>
      </c>
      <c r="AB69" s="372" t="e">
        <f t="shared" si="10"/>
        <v>#N/A</v>
      </c>
      <c r="AC69" s="372" t="e">
        <f t="shared" si="10"/>
        <v>#N/A</v>
      </c>
      <c r="AD69" s="372" t="e">
        <f t="shared" si="10"/>
        <v>#N/A</v>
      </c>
      <c r="AE69" s="372" t="e">
        <f t="shared" si="10"/>
        <v>#N/A</v>
      </c>
      <c r="AF69" s="372" t="e">
        <f t="shared" si="10"/>
        <v>#N/A</v>
      </c>
      <c r="AH69" s="231"/>
      <c r="AI69" s="231"/>
      <c r="AJ69" s="404">
        <v>180</v>
      </c>
      <c r="AK69" s="231"/>
    </row>
    <row r="70" spans="1:37" s="280" customFormat="1" ht="13.2" customHeight="1" x14ac:dyDescent="0.25">
      <c r="A70" s="522"/>
      <c r="B70" s="523"/>
      <c r="C70" s="524" t="e">
        <f>VLOOKUP(B66,Уч!$A$2:$L$34,12,FALSE)</f>
        <v>#N/A</v>
      </c>
      <c r="D70" s="528"/>
      <c r="E70" s="509" t="s">
        <v>59</v>
      </c>
      <c r="F70" s="458" t="e">
        <f>RANK(F69,$W$19:$W$150,0)</f>
        <v>#N/A</v>
      </c>
      <c r="G70" s="523" t="e">
        <f>RANK(G69,$X$19:$X$150,0)</f>
        <v>#N/A</v>
      </c>
      <c r="H70" s="523" t="e">
        <f>RANK(H69,$Y$19:$Y$150,0)</f>
        <v>#N/A</v>
      </c>
      <c r="I70" s="523" t="e">
        <f>RANK(I69,$Z$19:$Z$150,0)</f>
        <v>#N/A</v>
      </c>
      <c r="J70" s="526" t="e">
        <f>RANK(J69,$AA$19:$AA$150,0)</f>
        <v>#N/A</v>
      </c>
      <c r="K70" s="523" t="e">
        <f>RANK(K69,$AB$19:$AB$150,0)</f>
        <v>#N/A</v>
      </c>
      <c r="L70" s="523" t="e">
        <f>RANK(L69,$AC$19:$AC$150,0)</f>
        <v>#N/A</v>
      </c>
      <c r="M70" s="523" t="e">
        <f>RANK(M69,$AD$19:$AD$150,0)</f>
        <v>#N/A</v>
      </c>
      <c r="N70" s="523" t="e">
        <f>RANK(N69,$AE$19:$AE$150,0)</f>
        <v>#N/A</v>
      </c>
      <c r="O70" s="523" t="e">
        <f>RANK(O69,$AF$19:$AF$150,0)</f>
        <v>#N/A</v>
      </c>
      <c r="P70" s="448"/>
      <c r="Q70" s="527"/>
      <c r="R70" s="527"/>
      <c r="S70" s="205">
        <f>B66</f>
        <v>24</v>
      </c>
      <c r="T70" s="287" t="e">
        <f>$A66</f>
        <v>#N/A</v>
      </c>
      <c r="U70" s="287">
        <v>5</v>
      </c>
      <c r="V70" s="287" t="e">
        <f>$A66</f>
        <v>#N/A</v>
      </c>
      <c r="W70" s="449"/>
      <c r="X70" s="307"/>
      <c r="Y70" s="307"/>
      <c r="Z70" s="307"/>
      <c r="AA70" s="307"/>
      <c r="AB70" s="307"/>
      <c r="AC70" s="307"/>
      <c r="AD70" s="450"/>
      <c r="AE70" s="450"/>
      <c r="AF70" s="450"/>
      <c r="AJ70" s="404">
        <v>180</v>
      </c>
      <c r="AK70" s="231"/>
    </row>
    <row r="71" spans="1:37" s="280" customFormat="1" ht="13.2" customHeight="1" x14ac:dyDescent="0.35">
      <c r="A71" s="529" t="e">
        <f>RANK(P71,$P$16:$P$150,0)</f>
        <v>#N/A</v>
      </c>
      <c r="B71" s="530">
        <v>16</v>
      </c>
      <c r="C71" s="531" t="e">
        <f>VLOOKUP(B71,Уч!$A$2:$L$34,2,FALSE)</f>
        <v>#N/A</v>
      </c>
      <c r="D71" s="532" t="e">
        <f>VLOOKUP(B71,Уч!$A$2:$L$34,3,FALSE)</f>
        <v>#N/A</v>
      </c>
      <c r="E71" s="536" t="s">
        <v>19</v>
      </c>
      <c r="F71" s="533" t="e">
        <f>VLOOKUP($B71,'100 м 1'!$C$18:$I$87,5,FALSE)</f>
        <v>#N/A</v>
      </c>
      <c r="G71" s="533" t="e">
        <f>VLOOKUP($B71,'длина 2 '!$C$16:$O$54,11,FALSE)</f>
        <v>#N/A</v>
      </c>
      <c r="H71" s="533" t="e">
        <f>VLOOKUP($B71,'ядро 2'!$C$16:$K$60,8,FALSE)</f>
        <v>#N/A</v>
      </c>
      <c r="I71" s="533" t="e">
        <f>VLOOKUP($B71,'высота 2'!$C$16:$AF$57,29,FALSE)</f>
        <v>#N/A</v>
      </c>
      <c r="J71" s="534" t="e">
        <f>VLOOKUP($B71,'4_р'!$C$17:$H$73,5,FALSE)</f>
        <v>#N/A</v>
      </c>
      <c r="K71" s="533" t="e">
        <f>VLOOKUP($B71,'1cб_р'!$C$17:$I$67,5,FALSE)</f>
        <v>#N/A</v>
      </c>
      <c r="L71" s="533" t="e">
        <f>VLOOKUP($B71,Дс_р!$C$16:$K$70,8,FALSE)</f>
        <v>#N/A</v>
      </c>
      <c r="M71" s="533">
        <f>VLOOKUP($B71,Ш_р!$C$15:$AF$69,29,FALSE)</f>
        <v>4.5</v>
      </c>
      <c r="N71" s="533" t="e">
        <f>VLOOKUP($B71,К_р!$C$15:$K$68,8,FALSE)</f>
        <v>#N/A</v>
      </c>
      <c r="O71" s="530" t="e">
        <f>VLOOKUP($B71,'15_р'!$C$17:$H$86,5,FALSE)</f>
        <v>#N/A</v>
      </c>
      <c r="P71" s="535" t="e">
        <f>SUM(F73:O73)</f>
        <v>#N/A</v>
      </c>
      <c r="Q71" s="529" t="e">
        <f>LOOKUP(P71,Y$1:AH$1,Y$2:AH$2)</f>
        <v>#N/A</v>
      </c>
      <c r="R71" s="530" t="e">
        <f>AH71+AI71+5</f>
        <v>#N/A</v>
      </c>
      <c r="S71" s="404">
        <f>B71</f>
        <v>16</v>
      </c>
      <c r="T71" s="287" t="e">
        <f>$A71</f>
        <v>#N/A</v>
      </c>
      <c r="U71" s="287">
        <v>1</v>
      </c>
      <c r="V71" s="287" t="e">
        <f>$A71</f>
        <v>#N/A</v>
      </c>
      <c r="W71" s="449"/>
      <c r="X71" s="307"/>
      <c r="Y71" s="307"/>
      <c r="Z71" s="307"/>
      <c r="AA71" s="307"/>
      <c r="AB71" s="307"/>
      <c r="AC71" s="307"/>
      <c r="AD71" s="450"/>
      <c r="AE71" s="450"/>
      <c r="AF71" s="450"/>
      <c r="AH71" s="280" t="e">
        <f>IF(AND(T71&gt;16,P71&gt;=6200),"1",LOOKUP(T71,Y$5:AO$5,Y$6:AO$6))</f>
        <v>#N/A</v>
      </c>
      <c r="AI71" s="280" t="e">
        <f>LOOKUP(Q71,Y$8:AD$8,Y$9:AD$9)</f>
        <v>#N/A</v>
      </c>
      <c r="AJ71" s="404">
        <v>315</v>
      </c>
      <c r="AK71" s="231"/>
    </row>
    <row r="72" spans="1:37" s="280" customFormat="1" ht="13.2" customHeight="1" x14ac:dyDescent="0.35">
      <c r="A72" s="231"/>
      <c r="B72" s="404"/>
      <c r="C72" s="451" t="e">
        <f>VLOOKUP(B71,Уч!$A$2:$L$34,5,FALSE)</f>
        <v>#N/A</v>
      </c>
      <c r="D72" s="483" t="e">
        <f>VLOOKUP(B71,Уч!$A$2:$L$34,4,FALSE)</f>
        <v>#N/A</v>
      </c>
      <c r="E72" s="509" t="s">
        <v>25</v>
      </c>
      <c r="F72" s="453" t="e">
        <f>VLOOKUP($B71,'100 м 1'!$C$18:$I$87,6,FALSE)</f>
        <v>#N/A</v>
      </c>
      <c r="G72" s="454" t="e">
        <f>VLOOKUP($B71,'длина 2 '!$C$16:$O$54,12,FALSE)</f>
        <v>#N/A</v>
      </c>
      <c r="H72" s="404"/>
      <c r="I72" s="454"/>
      <c r="J72" s="455"/>
      <c r="K72" s="454" t="e">
        <f>VLOOKUP($B71,'1cб_р'!$C$17:$I$67,6,FALSE)</f>
        <v>#N/A</v>
      </c>
      <c r="L72" s="454"/>
      <c r="M72" s="454"/>
      <c r="N72" s="404"/>
      <c r="O72" s="404"/>
      <c r="P72" s="448"/>
      <c r="Q72" s="456"/>
      <c r="R72" s="404" t="e">
        <f>CONCATENATE(AH71,"+",AI71,"+",5)</f>
        <v>#N/A</v>
      </c>
      <c r="S72" s="404">
        <f>B71</f>
        <v>16</v>
      </c>
      <c r="T72" s="287" t="e">
        <f>$A71</f>
        <v>#N/A</v>
      </c>
      <c r="U72" s="287">
        <v>2</v>
      </c>
      <c r="V72" s="287" t="e">
        <f>$A71</f>
        <v>#N/A</v>
      </c>
      <c r="W72" s="449"/>
      <c r="X72" s="307"/>
      <c r="Y72" s="307"/>
      <c r="Z72" s="307"/>
      <c r="AA72" s="307"/>
      <c r="AB72" s="307"/>
      <c r="AC72" s="307"/>
      <c r="AD72" s="450"/>
      <c r="AE72" s="450"/>
      <c r="AF72" s="450"/>
      <c r="AH72" s="231"/>
      <c r="AI72" s="231"/>
      <c r="AJ72" s="404">
        <v>315</v>
      </c>
      <c r="AK72" s="231"/>
    </row>
    <row r="73" spans="1:37" s="280" customFormat="1" ht="13.2" customHeight="1" x14ac:dyDescent="0.35">
      <c r="A73" s="231"/>
      <c r="B73" s="404"/>
      <c r="C73" s="457" t="e">
        <f>VLOOKUP(B71,Уч!$A$2:$L$34,7,FALSE)</f>
        <v>#N/A</v>
      </c>
      <c r="D73" s="444"/>
      <c r="E73" s="509" t="s">
        <v>29</v>
      </c>
      <c r="F73" s="458" t="e">
        <f>VLOOKUP($B71,'100 м 1'!$C$18:$I$87,7,FALSE)</f>
        <v>#N/A</v>
      </c>
      <c r="G73" s="404" t="e">
        <f>VLOOKUP($B71,'длина 2 '!$C$16:$O$54,13,FALSE)</f>
        <v>#N/A</v>
      </c>
      <c r="H73" s="404" t="e">
        <f>VLOOKUP($B71,'ядро 2'!$C$16:$K$60,9,FALSE)</f>
        <v>#N/A</v>
      </c>
      <c r="I73" s="404" t="e">
        <f>VLOOKUP($B71,'высота 2'!$C$16:$AF$57,30,)</f>
        <v>#N/A</v>
      </c>
      <c r="J73" s="459" t="e">
        <f>VLOOKUP($B71,'4_р'!$C$17:$H$73,6,FALSE)</f>
        <v>#N/A</v>
      </c>
      <c r="K73" s="404" t="e">
        <f>VLOOKUP($B71,'1cб_р'!$C$17:$I$67,7,FALSE)</f>
        <v>#N/A</v>
      </c>
      <c r="L73" s="404" t="e">
        <f>VLOOKUP($B71,Дс_р!$C$16:$K$70,9,FALSE)</f>
        <v>#N/A</v>
      </c>
      <c r="M73" s="404">
        <f>VLOOKUP($B71,Ш_р!$C$15:$AF$69,30,FALSE)</f>
        <v>760</v>
      </c>
      <c r="N73" s="404" t="e">
        <f>VLOOKUP($B71,К_р!$C$15:$K$68,9,FALSE)</f>
        <v>#N/A</v>
      </c>
      <c r="O73" s="404" t="e">
        <f>VLOOKUP($B71,'15_р'!$C$17:$H$86,6,FALSE)</f>
        <v>#N/A</v>
      </c>
      <c r="P73" s="448"/>
      <c r="Q73" s="372"/>
      <c r="R73" s="372"/>
      <c r="S73" s="404">
        <f>B71</f>
        <v>16</v>
      </c>
      <c r="T73" s="287" t="e">
        <f>$A71</f>
        <v>#N/A</v>
      </c>
      <c r="U73" s="287">
        <v>3</v>
      </c>
      <c r="V73" s="287" t="e">
        <f>$A71</f>
        <v>#N/A</v>
      </c>
      <c r="W73" s="449"/>
      <c r="X73" s="307"/>
      <c r="Y73" s="307"/>
      <c r="Z73" s="307"/>
      <c r="AA73" s="307"/>
      <c r="AB73" s="307"/>
      <c r="AC73" s="307"/>
      <c r="AD73" s="450"/>
      <c r="AE73" s="450"/>
      <c r="AF73" s="450"/>
      <c r="AH73" s="231"/>
      <c r="AI73" s="231"/>
      <c r="AJ73" s="404">
        <v>315</v>
      </c>
      <c r="AK73" s="231"/>
    </row>
    <row r="74" spans="1:37" s="280" customFormat="1" ht="13.2" customHeight="1" x14ac:dyDescent="0.35">
      <c r="A74" s="231"/>
      <c r="B74" s="404"/>
      <c r="C74" s="451" t="e">
        <f>VLOOKUP(B71,Уч!$A$2:$L$34,11,FALSE)</f>
        <v>#N/A</v>
      </c>
      <c r="D74" s="444"/>
      <c r="E74" s="509" t="s">
        <v>276</v>
      </c>
      <c r="F74" s="458" t="e">
        <f>F73</f>
        <v>#N/A</v>
      </c>
      <c r="G74" s="404" t="e">
        <f>F74+G73</f>
        <v>#N/A</v>
      </c>
      <c r="H74" s="404" t="e">
        <f>G74+H73</f>
        <v>#N/A</v>
      </c>
      <c r="I74" s="404" t="e">
        <f>H74+I73</f>
        <v>#N/A</v>
      </c>
      <c r="J74" s="459" t="e">
        <f>SUM($F73:J73)</f>
        <v>#N/A</v>
      </c>
      <c r="K74" s="404" t="e">
        <f>SUM($F73:$K73)</f>
        <v>#N/A</v>
      </c>
      <c r="L74" s="404" t="e">
        <f>K74+L73</f>
        <v>#N/A</v>
      </c>
      <c r="M74" s="404" t="e">
        <f>L74+M73</f>
        <v>#N/A</v>
      </c>
      <c r="N74" s="404" t="e">
        <f>SUM($F73:$N73)</f>
        <v>#N/A</v>
      </c>
      <c r="O74" s="404" t="e">
        <f>SUM($F73:$O73)</f>
        <v>#N/A</v>
      </c>
      <c r="P74" s="448"/>
      <c r="Q74" s="372"/>
      <c r="R74" s="372"/>
      <c r="S74" s="404">
        <f>B71</f>
        <v>16</v>
      </c>
      <c r="T74" s="287" t="e">
        <f>$A71</f>
        <v>#N/A</v>
      </c>
      <c r="U74" s="287">
        <v>4</v>
      </c>
      <c r="V74" s="287" t="e">
        <f>$A71</f>
        <v>#N/A</v>
      </c>
      <c r="W74" s="372" t="e">
        <f t="shared" ref="W74:AF74" si="11">F74</f>
        <v>#N/A</v>
      </c>
      <c r="X74" s="372" t="e">
        <f t="shared" si="11"/>
        <v>#N/A</v>
      </c>
      <c r="Y74" s="372" t="e">
        <f t="shared" si="11"/>
        <v>#N/A</v>
      </c>
      <c r="Z74" s="372" t="e">
        <f t="shared" si="11"/>
        <v>#N/A</v>
      </c>
      <c r="AA74" s="372" t="e">
        <f t="shared" si="11"/>
        <v>#N/A</v>
      </c>
      <c r="AB74" s="372" t="e">
        <f t="shared" si="11"/>
        <v>#N/A</v>
      </c>
      <c r="AC74" s="372" t="e">
        <f t="shared" si="11"/>
        <v>#N/A</v>
      </c>
      <c r="AD74" s="372" t="e">
        <f t="shared" si="11"/>
        <v>#N/A</v>
      </c>
      <c r="AE74" s="372" t="e">
        <f t="shared" si="11"/>
        <v>#N/A</v>
      </c>
      <c r="AF74" s="372" t="e">
        <f t="shared" si="11"/>
        <v>#N/A</v>
      </c>
      <c r="AH74" s="231"/>
      <c r="AI74" s="231"/>
      <c r="AJ74" s="404">
        <v>315</v>
      </c>
      <c r="AK74" s="231"/>
    </row>
    <row r="75" spans="1:37" s="280" customFormat="1" ht="13.2" customHeight="1" x14ac:dyDescent="0.25">
      <c r="A75" s="522"/>
      <c r="B75" s="523"/>
      <c r="C75" s="524" t="e">
        <f>VLOOKUP(B71,Уч!$A$2:$L$34,12,FALSE)</f>
        <v>#N/A</v>
      </c>
      <c r="D75" s="528"/>
      <c r="E75" s="509" t="s">
        <v>59</v>
      </c>
      <c r="F75" s="458" t="e">
        <f>RANK(F74,$W$19:$W$150,0)</f>
        <v>#N/A</v>
      </c>
      <c r="G75" s="523" t="e">
        <f>RANK(G74,$X$19:$X$150,0)</f>
        <v>#N/A</v>
      </c>
      <c r="H75" s="523" t="e">
        <f>RANK(H74,$Y$19:$Y$150,0)</f>
        <v>#N/A</v>
      </c>
      <c r="I75" s="523" t="e">
        <f>RANK(I74,$Z$19:$Z$150,0)</f>
        <v>#N/A</v>
      </c>
      <c r="J75" s="526" t="e">
        <f>RANK(J74,$AA$19:$AA$150,0)</f>
        <v>#N/A</v>
      </c>
      <c r="K75" s="523" t="e">
        <f>RANK(K74,$AB$19:$AB$150,0)</f>
        <v>#N/A</v>
      </c>
      <c r="L75" s="523" t="e">
        <f>RANK(L74,$AC$19:$AC$150,0)</f>
        <v>#N/A</v>
      </c>
      <c r="M75" s="523" t="e">
        <f>RANK(M74,$AD$19:$AD$150,0)</f>
        <v>#N/A</v>
      </c>
      <c r="N75" s="523" t="e">
        <f>RANK(N74,$AE$19:$AE$150,0)</f>
        <v>#N/A</v>
      </c>
      <c r="O75" s="523" t="e">
        <f>RANK(O74,$AF$19:$AF$150,0)</f>
        <v>#N/A</v>
      </c>
      <c r="P75" s="448"/>
      <c r="Q75" s="527"/>
      <c r="R75" s="527"/>
      <c r="S75" s="205">
        <f>B71</f>
        <v>16</v>
      </c>
      <c r="T75" s="287" t="e">
        <f>$A71</f>
        <v>#N/A</v>
      </c>
      <c r="U75" s="287">
        <v>5</v>
      </c>
      <c r="V75" s="287" t="e">
        <f>$A71</f>
        <v>#N/A</v>
      </c>
      <c r="W75" s="449"/>
      <c r="X75" s="307"/>
      <c r="Y75" s="307"/>
      <c r="Z75" s="307"/>
      <c r="AA75" s="307"/>
      <c r="AB75" s="307"/>
      <c r="AC75" s="307"/>
      <c r="AD75" s="450"/>
      <c r="AE75" s="450"/>
      <c r="AF75" s="450"/>
      <c r="AH75" s="231"/>
      <c r="AI75" s="231"/>
      <c r="AJ75" s="404">
        <v>315</v>
      </c>
      <c r="AK75" s="231"/>
    </row>
    <row r="76" spans="1:37" s="280" customFormat="1" ht="13.2" customHeight="1" x14ac:dyDescent="0.35">
      <c r="A76" s="529" t="e">
        <f>RANK(P76,$P$16:$P$150,0)</f>
        <v>#N/A</v>
      </c>
      <c r="B76" s="530">
        <v>77</v>
      </c>
      <c r="C76" s="531" t="str">
        <f>VLOOKUP(B76,Уч!$A$2:$L$34,2,FALSE)</f>
        <v>Мазикин Алексей</v>
      </c>
      <c r="D76" s="532" t="str">
        <f>VLOOKUP(B76,Уч!$A$2:$L$34,3,FALSE)</f>
        <v>05.06.1998</v>
      </c>
      <c r="E76" s="536" t="s">
        <v>19</v>
      </c>
      <c r="F76" s="533">
        <f>VLOOKUP($B76,'100 м 1'!$C$18:$I$87,5,FALSE)</f>
        <v>12.19</v>
      </c>
      <c r="G76" s="533">
        <f>VLOOKUP($B76,'длина 2 '!$C$16:$O$54,11,FALSE)</f>
        <v>7.05</v>
      </c>
      <c r="H76" s="533">
        <f>VLOOKUP($B76,'ядро 2'!$C$16:$K$60,8,FALSE)</f>
        <v>11.58</v>
      </c>
      <c r="I76" s="533">
        <f>VLOOKUP($B76,'высота 2'!$C$16:$AF$57,29,FALSE)</f>
        <v>2.06</v>
      </c>
      <c r="J76" s="534" t="e">
        <f>VLOOKUP($B76,'4_р'!$C$17:$H$73,5,FALSE)</f>
        <v>#N/A</v>
      </c>
      <c r="K76" s="533" t="e">
        <f>VLOOKUP($B76,'1cб_р'!$C$17:$I$67,5,FALSE)</f>
        <v>#N/A</v>
      </c>
      <c r="L76" s="533" t="e">
        <f>VLOOKUP($B76,Дс_р!$C$16:$K$70,8,FALSE)</f>
        <v>#N/A</v>
      </c>
      <c r="M76" s="533" t="e">
        <f>VLOOKUP($B76,Ш_р!$C$15:$AF$69,29,FALSE)</f>
        <v>#N/A</v>
      </c>
      <c r="N76" s="533" t="e">
        <f>VLOOKUP($B76,К_р!$C$15:$K$68,8,FALSE)</f>
        <v>#N/A</v>
      </c>
      <c r="O76" s="530" t="e">
        <f>VLOOKUP($B76,'15_р'!$C$17:$H$86,5,FALSE)</f>
        <v>#N/A</v>
      </c>
      <c r="P76" s="535" t="e">
        <f>SUM(F78:O78)</f>
        <v>#N/A</v>
      </c>
      <c r="Q76" s="529" t="e">
        <f>LOOKUP(P76,Y$1:AH$1,Y$2:AH$2)</f>
        <v>#N/A</v>
      </c>
      <c r="R76" s="530" t="e">
        <f>AH76+AI76+5</f>
        <v>#N/A</v>
      </c>
      <c r="S76" s="404">
        <f>B76</f>
        <v>77</v>
      </c>
      <c r="T76" s="287" t="e">
        <f>$A76</f>
        <v>#N/A</v>
      </c>
      <c r="U76" s="287">
        <v>1</v>
      </c>
      <c r="V76" s="287" t="e">
        <f>$A76</f>
        <v>#N/A</v>
      </c>
      <c r="W76" s="449"/>
      <c r="X76" s="307"/>
      <c r="Y76" s="307"/>
      <c r="Z76" s="307"/>
      <c r="AA76" s="307"/>
      <c r="AB76" s="307"/>
      <c r="AC76" s="307"/>
      <c r="AD76" s="450"/>
      <c r="AE76" s="450"/>
      <c r="AF76" s="450"/>
      <c r="AH76" s="280" t="e">
        <f>IF(AND(T76&gt;16,P76&gt;=6200),"1",LOOKUP(T76,Y$5:AO$5,Y$6:AO$6))</f>
        <v>#N/A</v>
      </c>
      <c r="AI76" s="280" t="e">
        <f>LOOKUP(Q76,Y$8:AD$8,Y$9:AD$9)</f>
        <v>#N/A</v>
      </c>
      <c r="AJ76" s="404">
        <v>316</v>
      </c>
      <c r="AK76" s="231"/>
    </row>
    <row r="77" spans="1:37" s="280" customFormat="1" ht="13.2" customHeight="1" x14ac:dyDescent="0.35">
      <c r="A77" s="231"/>
      <c r="B77" s="404"/>
      <c r="C77" s="451" t="str">
        <f>VLOOKUP(B76,Уч!$A$2:$L$34,5,FALSE)</f>
        <v xml:space="preserve">Ставропольский край  </v>
      </c>
      <c r="D77" s="452" t="str">
        <f>VLOOKUP(B76,Уч!$A$2:$L$34,4,FALSE)</f>
        <v>КМС</v>
      </c>
      <c r="E77" s="509" t="s">
        <v>25</v>
      </c>
      <c r="F77" s="453">
        <f>VLOOKUP($B76,'100 м 1'!$C$18:$I$87,6,FALSE)</f>
        <v>0.8</v>
      </c>
      <c r="G77" s="454">
        <f>VLOOKUP($B76,'длина 2 '!$C$16:$O$54,12,FALSE)</f>
        <v>0</v>
      </c>
      <c r="H77" s="404"/>
      <c r="I77" s="454"/>
      <c r="J77" s="455"/>
      <c r="K77" s="454" t="e">
        <f>VLOOKUP($B76,'1cб_р'!$C$17:$I$67,6,FALSE)</f>
        <v>#N/A</v>
      </c>
      <c r="L77" s="454"/>
      <c r="M77" s="454"/>
      <c r="N77" s="404"/>
      <c r="O77" s="404"/>
      <c r="P77" s="448"/>
      <c r="Q77" s="456"/>
      <c r="R77" s="404" t="e">
        <f>CONCATENATE(AH76,"+",AI76,"+",5)</f>
        <v>#N/A</v>
      </c>
      <c r="S77" s="404">
        <f>B76</f>
        <v>77</v>
      </c>
      <c r="T77" s="287" t="e">
        <f>$A76</f>
        <v>#N/A</v>
      </c>
      <c r="U77" s="287">
        <v>2</v>
      </c>
      <c r="V77" s="287" t="e">
        <f>$A76</f>
        <v>#N/A</v>
      </c>
      <c r="W77" s="449"/>
      <c r="X77" s="307"/>
      <c r="Y77" s="307"/>
      <c r="Z77" s="307"/>
      <c r="AA77" s="307"/>
      <c r="AB77" s="307"/>
      <c r="AC77" s="307"/>
      <c r="AD77" s="450"/>
      <c r="AE77" s="450"/>
      <c r="AF77" s="450"/>
      <c r="AH77" s="231"/>
      <c r="AI77" s="231"/>
      <c r="AJ77" s="404">
        <v>316</v>
      </c>
      <c r="AK77" s="231"/>
    </row>
    <row r="78" spans="1:37" s="280" customFormat="1" ht="13.2" customHeight="1" x14ac:dyDescent="0.35">
      <c r="A78" s="231"/>
      <c r="B78" s="404"/>
      <c r="C78" s="457" t="str">
        <f>VLOOKUP(B76,Уч!$A$2:$L$34,7,FALSE)</f>
        <v>ГБУ СК "СШОР по легкой атлетике", СУОР</v>
      </c>
      <c r="D78" s="452"/>
      <c r="E78" s="509" t="s">
        <v>29</v>
      </c>
      <c r="F78" s="458">
        <f>VLOOKUP($B76,'100 м 1'!$C$18:$I$87,7,FALSE)</f>
        <v>614</v>
      </c>
      <c r="G78" s="404">
        <f>VLOOKUP($B76,'длина 2 '!$C$16:$O$54,13,FALSE)</f>
        <v>0</v>
      </c>
      <c r="H78" s="404">
        <f>VLOOKUP($B76,'ядро 2'!$C$16:$K$60,9,FALSE)</f>
        <v>581</v>
      </c>
      <c r="I78" s="404">
        <f>VLOOKUP($B76,'высота 2'!$C$16:$AF$57,30,)</f>
        <v>0</v>
      </c>
      <c r="J78" s="459" t="e">
        <f>VLOOKUP($B76,'4_р'!$C$17:$H$73,6,FALSE)</f>
        <v>#N/A</v>
      </c>
      <c r="K78" s="404" t="e">
        <f>VLOOKUP($B76,'1cб_р'!$C$17:$I$67,7,FALSE)</f>
        <v>#N/A</v>
      </c>
      <c r="L78" s="404" t="e">
        <f>VLOOKUP($B76,Дс_р!$C$16:$K$70,9,FALSE)</f>
        <v>#N/A</v>
      </c>
      <c r="M78" s="404" t="e">
        <f>VLOOKUP($B76,Ш_р!$C$15:$AF$69,30,FALSE)</f>
        <v>#N/A</v>
      </c>
      <c r="N78" s="404" t="e">
        <f>VLOOKUP($B76,К_р!$C$15:$K$68,9,FALSE)</f>
        <v>#N/A</v>
      </c>
      <c r="O78" s="404" t="e">
        <f>VLOOKUP($B76,'15_р'!$C$17:$H$86,6,FALSE)</f>
        <v>#N/A</v>
      </c>
      <c r="P78" s="448"/>
      <c r="Q78" s="468"/>
      <c r="R78" s="372"/>
      <c r="S78" s="404">
        <f>B76</f>
        <v>77</v>
      </c>
      <c r="T78" s="287" t="e">
        <f>$A76</f>
        <v>#N/A</v>
      </c>
      <c r="U78" s="287">
        <v>3</v>
      </c>
      <c r="V78" s="287" t="e">
        <f>$A76</f>
        <v>#N/A</v>
      </c>
      <c r="W78" s="449"/>
      <c r="X78" s="307"/>
      <c r="Y78" s="307"/>
      <c r="Z78" s="307"/>
      <c r="AA78" s="307"/>
      <c r="AB78" s="307"/>
      <c r="AC78" s="307"/>
      <c r="AD78" s="450"/>
      <c r="AE78" s="450"/>
      <c r="AF78" s="450"/>
      <c r="AH78" s="231"/>
      <c r="AI78" s="231"/>
      <c r="AJ78" s="404">
        <v>316</v>
      </c>
      <c r="AK78" s="231"/>
    </row>
    <row r="79" spans="1:37" s="280" customFormat="1" ht="13.2" customHeight="1" x14ac:dyDescent="0.35">
      <c r="A79" s="231"/>
      <c r="B79" s="404"/>
      <c r="C79" s="451" t="str">
        <f>VLOOKUP(B76,Уч!$A$2:$L$34,11,FALSE)</f>
        <v>Мирошниченко В.И., Журавлева Т.В.</v>
      </c>
      <c r="D79" s="452"/>
      <c r="E79" s="509" t="s">
        <v>276</v>
      </c>
      <c r="F79" s="458">
        <f>F78</f>
        <v>614</v>
      </c>
      <c r="G79" s="404">
        <f>F79+G78</f>
        <v>614</v>
      </c>
      <c r="H79" s="404">
        <f>G79+H78</f>
        <v>1195</v>
      </c>
      <c r="I79" s="404">
        <f>H79+I78</f>
        <v>1195</v>
      </c>
      <c r="J79" s="459" t="e">
        <f>SUM($F78:J78)</f>
        <v>#N/A</v>
      </c>
      <c r="K79" s="404" t="e">
        <f>SUM($F78:$K78)</f>
        <v>#N/A</v>
      </c>
      <c r="L79" s="404" t="e">
        <f>K79+L78</f>
        <v>#N/A</v>
      </c>
      <c r="M79" s="404" t="e">
        <f>L79+M78</f>
        <v>#N/A</v>
      </c>
      <c r="N79" s="404" t="e">
        <f>SUM($F78:$N78)</f>
        <v>#N/A</v>
      </c>
      <c r="O79" s="404" t="e">
        <f>SUM($F78:$O78)</f>
        <v>#N/A</v>
      </c>
      <c r="P79" s="448"/>
      <c r="Q79" s="456"/>
      <c r="R79" s="372"/>
      <c r="S79" s="404">
        <f>B76</f>
        <v>77</v>
      </c>
      <c r="T79" s="287" t="e">
        <f>$A76</f>
        <v>#N/A</v>
      </c>
      <c r="U79" s="287">
        <v>4</v>
      </c>
      <c r="V79" s="287" t="e">
        <f>$A76</f>
        <v>#N/A</v>
      </c>
      <c r="W79" s="372">
        <f t="shared" ref="W79:AF79" si="12">F79</f>
        <v>614</v>
      </c>
      <c r="X79" s="372">
        <f t="shared" si="12"/>
        <v>614</v>
      </c>
      <c r="Y79" s="372">
        <f t="shared" si="12"/>
        <v>1195</v>
      </c>
      <c r="Z79" s="372">
        <f t="shared" si="12"/>
        <v>1195</v>
      </c>
      <c r="AA79" s="372" t="e">
        <f t="shared" si="12"/>
        <v>#N/A</v>
      </c>
      <c r="AB79" s="372" t="e">
        <f t="shared" si="12"/>
        <v>#N/A</v>
      </c>
      <c r="AC79" s="372" t="e">
        <f t="shared" si="12"/>
        <v>#N/A</v>
      </c>
      <c r="AD79" s="372" t="e">
        <f t="shared" si="12"/>
        <v>#N/A</v>
      </c>
      <c r="AE79" s="372" t="e">
        <f t="shared" si="12"/>
        <v>#N/A</v>
      </c>
      <c r="AF79" s="372" t="e">
        <f t="shared" si="12"/>
        <v>#N/A</v>
      </c>
      <c r="AH79" s="231"/>
      <c r="AI79" s="231"/>
      <c r="AJ79" s="404">
        <v>316</v>
      </c>
      <c r="AK79" s="231"/>
    </row>
    <row r="80" spans="1:37" s="280" customFormat="1" ht="13.2" customHeight="1" thickBot="1" x14ac:dyDescent="0.3">
      <c r="A80" s="460"/>
      <c r="B80" s="461"/>
      <c r="C80" s="462">
        <f>VLOOKUP(B76,Уч!$A$2:$L$34,12,FALSE)</f>
        <v>0</v>
      </c>
      <c r="D80" s="463"/>
      <c r="E80" s="510" t="s">
        <v>59</v>
      </c>
      <c r="F80" s="464" t="e">
        <f>RANK(F79,$W$19:$W$150,0)</f>
        <v>#N/A</v>
      </c>
      <c r="G80" s="461" t="e">
        <f>RANK(G79,$X$19:$X$150,0)</f>
        <v>#N/A</v>
      </c>
      <c r="H80" s="461" t="e">
        <f>RANK(H79,$Y$19:$Y$150,0)</f>
        <v>#N/A</v>
      </c>
      <c r="I80" s="461" t="e">
        <f>RANK(I79,$Z$19:$Z$150,0)</f>
        <v>#N/A</v>
      </c>
      <c r="J80" s="465" t="e">
        <f>RANK(J79,$AA$19:$AA$150,0)</f>
        <v>#N/A</v>
      </c>
      <c r="K80" s="461" t="e">
        <f>RANK(K79,$AB$19:$AB$150,0)</f>
        <v>#N/A</v>
      </c>
      <c r="L80" s="461" t="e">
        <f>RANK(L79,$AC$19:$AC$150,0)</f>
        <v>#N/A</v>
      </c>
      <c r="M80" s="461" t="e">
        <f>RANK(M79,$AD$19:$AD$150,0)</f>
        <v>#N/A</v>
      </c>
      <c r="N80" s="461" t="e">
        <f>RANK(N79,$AE$19:$AE$150,0)</f>
        <v>#N/A</v>
      </c>
      <c r="O80" s="461" t="e">
        <f>RANK(O79,$AF$19:$AF$150,0)</f>
        <v>#N/A</v>
      </c>
      <c r="P80" s="466"/>
      <c r="Q80" s="442"/>
      <c r="R80" s="442"/>
      <c r="S80" s="205">
        <f>B76</f>
        <v>77</v>
      </c>
      <c r="T80" s="287" t="e">
        <f>$A76</f>
        <v>#N/A</v>
      </c>
      <c r="U80" s="287">
        <v>5</v>
      </c>
      <c r="V80" s="287" t="e">
        <f>$A76</f>
        <v>#N/A</v>
      </c>
      <c r="W80" s="449"/>
      <c r="X80" s="307"/>
      <c r="Y80" s="307"/>
      <c r="Z80" s="307"/>
      <c r="AA80" s="307"/>
      <c r="AB80" s="307"/>
      <c r="AC80" s="307"/>
      <c r="AD80" s="450"/>
      <c r="AE80" s="450"/>
      <c r="AF80" s="450"/>
      <c r="AH80" s="231"/>
      <c r="AI80" s="231"/>
      <c r="AJ80" s="404">
        <v>316</v>
      </c>
      <c r="AK80" s="231"/>
    </row>
    <row r="81" spans="1:41" s="280" customFormat="1" ht="13.2" hidden="1" customHeight="1" thickTop="1" x14ac:dyDescent="0.35">
      <c r="A81" s="484" t="e">
        <f>RANK(P81,$P$16:$P$150,0)</f>
        <v>#N/A</v>
      </c>
      <c r="B81" s="404">
        <v>79</v>
      </c>
      <c r="C81" s="443" t="str">
        <f>VLOOKUP(B81,Уч!$A$2:$L$34,2,FALSE)</f>
        <v>Шестопалов Феликс</v>
      </c>
      <c r="D81" s="444" t="str">
        <f>VLOOKUP(B81,Уч!$A$2:$L$34,3,FALSE)</f>
        <v>11.03.1996</v>
      </c>
      <c r="E81" s="509" t="s">
        <v>19</v>
      </c>
      <c r="F81" s="445">
        <f>VLOOKUP($B81,'100 м 1'!$C$18:$I$87,5,FALSE)</f>
        <v>11.13</v>
      </c>
      <c r="G81" s="446" t="e">
        <f>VLOOKUP($B81,'длина 2 '!$C$16:$O$54,11,FALSE)</f>
        <v>#N/A</v>
      </c>
      <c r="H81" s="446" t="e">
        <f>VLOOKUP($B81,'ядро 2'!$C$16:$K$60,8,FALSE)</f>
        <v>#N/A</v>
      </c>
      <c r="I81" s="446" t="e">
        <f>VLOOKUP($B81,'высота 2'!$C$16:$AF$57,29,FALSE)</f>
        <v>#N/A</v>
      </c>
      <c r="J81" s="447" t="e">
        <f>VLOOKUP($B81,'4_р'!$C$17:$H$73,5,FALSE)</f>
        <v>#N/A</v>
      </c>
      <c r="K81" s="446" t="e">
        <f>VLOOKUP($B81,'1cб_р'!$C$17:$I$67,5,FALSE)</f>
        <v>#N/A</v>
      </c>
      <c r="L81" s="446" t="e">
        <f>VLOOKUP($B81,Дс_р!$C$16:$K$70,8,FALSE)</f>
        <v>#N/A</v>
      </c>
      <c r="M81" s="446" t="e">
        <f>VLOOKUP($B81,Ш_р!$C$15:$AF$69,29,FALSE)</f>
        <v>#N/A</v>
      </c>
      <c r="N81" s="446" t="e">
        <f>VLOOKUP($B81,К_р!$C$15:$K$68,8,FALSE)</f>
        <v>#N/A</v>
      </c>
      <c r="O81" s="404" t="e">
        <f>VLOOKUP($B81,'15_р'!$C$17:$H$86,5,FALSE)</f>
        <v>#N/A</v>
      </c>
      <c r="P81" s="491" t="e">
        <f>SUM(F83:O83)</f>
        <v>#N/A</v>
      </c>
      <c r="Q81" s="231" t="e">
        <f>LOOKUP(P81,Y$1:AH$1,Y$2:AH$2)</f>
        <v>#N/A</v>
      </c>
      <c r="R81" s="404" t="e">
        <f>AH81+AI81+5</f>
        <v>#N/A</v>
      </c>
      <c r="S81" s="404">
        <f>B81</f>
        <v>79</v>
      </c>
      <c r="T81" s="287" t="e">
        <f>$A81</f>
        <v>#N/A</v>
      </c>
      <c r="U81" s="287">
        <v>1</v>
      </c>
      <c r="V81" s="287" t="s">
        <v>162</v>
      </c>
      <c r="W81" s="492"/>
      <c r="X81" s="492"/>
      <c r="Y81" s="492"/>
      <c r="Z81" s="492"/>
      <c r="AA81" s="492"/>
      <c r="AB81" s="492"/>
      <c r="AC81" s="492"/>
      <c r="AD81" s="492"/>
      <c r="AE81" s="492"/>
      <c r="AF81" s="492"/>
      <c r="AG81" s="287"/>
      <c r="AH81" s="280" t="e">
        <f>IF(AND(T81&gt;16,P81&gt;=6200),"1",LOOKUP(T81,Y$5:AO$5,Y$6:AO$6))</f>
        <v>#N/A</v>
      </c>
      <c r="AI81" s="280" t="e">
        <f>LOOKUP(Q81,Y$8:AD$8,Y$9:AD$9)</f>
        <v>#N/A</v>
      </c>
      <c r="AJ81" s="404">
        <v>319</v>
      </c>
      <c r="AK81" s="231"/>
      <c r="AL81" s="287"/>
      <c r="AM81" s="287"/>
      <c r="AN81" s="287"/>
      <c r="AO81" s="287"/>
    </row>
    <row r="82" spans="1:41" s="280" customFormat="1" ht="13.2" hidden="1" customHeight="1" x14ac:dyDescent="0.35">
      <c r="A82" s="231"/>
      <c r="B82" s="404"/>
      <c r="C82" s="451" t="str">
        <f>VLOOKUP(B81,Уч!$A$2:$L$34,5,FALSE)</f>
        <v xml:space="preserve">Москва Ставропольский край </v>
      </c>
      <c r="D82" s="444" t="str">
        <f>VLOOKUP(B81,Уч!$A$2:$L$34,4,FALSE)</f>
        <v>МС</v>
      </c>
      <c r="E82" s="509" t="s">
        <v>25</v>
      </c>
      <c r="F82" s="453">
        <f>VLOOKUP($B81,'100 м 1'!$C$18:$I$87,6,FALSE)</f>
        <v>0</v>
      </c>
      <c r="G82" s="454" t="e">
        <f>VLOOKUP($B81,'длина 2 '!$C$16:$O$54,12,FALSE)</f>
        <v>#N/A</v>
      </c>
      <c r="H82" s="404"/>
      <c r="I82" s="454"/>
      <c r="J82" s="455"/>
      <c r="K82" s="454" t="e">
        <f>VLOOKUP($B81,'1cб_р'!$C$17:$I$67,6,FALSE)</f>
        <v>#N/A</v>
      </c>
      <c r="L82" s="454"/>
      <c r="M82" s="454"/>
      <c r="N82" s="404"/>
      <c r="O82" s="404"/>
      <c r="P82" s="474"/>
      <c r="Q82" s="303"/>
      <c r="R82" s="404" t="e">
        <f>CONCATENATE(AH81,"+",AI81,"+",5)</f>
        <v>#N/A</v>
      </c>
      <c r="S82" s="404">
        <f>B81</f>
        <v>79</v>
      </c>
      <c r="T82" s="287" t="e">
        <f>$A81</f>
        <v>#N/A</v>
      </c>
      <c r="U82" s="287">
        <v>2</v>
      </c>
      <c r="V82" s="287" t="s">
        <v>162</v>
      </c>
      <c r="W82" s="492"/>
      <c r="X82" s="492"/>
      <c r="Y82" s="492"/>
      <c r="Z82" s="492"/>
      <c r="AA82" s="492"/>
      <c r="AB82" s="492"/>
      <c r="AC82" s="492"/>
      <c r="AD82" s="492"/>
      <c r="AE82" s="492"/>
      <c r="AF82" s="492"/>
      <c r="AG82" s="287"/>
      <c r="AH82" s="231"/>
      <c r="AI82" s="231"/>
      <c r="AJ82" s="404">
        <v>319</v>
      </c>
      <c r="AK82" s="231"/>
      <c r="AL82" s="287"/>
      <c r="AM82" s="287"/>
      <c r="AN82" s="287"/>
      <c r="AO82" s="287"/>
    </row>
    <row r="83" spans="1:41" s="280" customFormat="1" ht="13.2" hidden="1" customHeight="1" x14ac:dyDescent="0.35">
      <c r="A83" s="231"/>
      <c r="B83" s="404"/>
      <c r="C83" s="457" t="str">
        <f>VLOOKUP(B81,Уч!$A$2:$L$34,7,FALSE)</f>
        <v>ГБУ "ФСО "Юность Москвы" Москомспорта, ГБУ СК "РЦСП"</v>
      </c>
      <c r="D83" s="444"/>
      <c r="E83" s="509" t="s">
        <v>29</v>
      </c>
      <c r="F83" s="458">
        <f>VLOOKUP($B81,'100 м 1'!$C$18:$I$87,7,FALSE)</f>
        <v>832</v>
      </c>
      <c r="G83" s="404" t="e">
        <f>VLOOKUP($B81,'длина 2 '!$C$16:$O$54,13,FALSE)</f>
        <v>#N/A</v>
      </c>
      <c r="H83" s="404" t="e">
        <f>VLOOKUP($B81,'ядро 2'!$C$16:$K$60,9,FALSE)</f>
        <v>#N/A</v>
      </c>
      <c r="I83" s="404" t="e">
        <f>VLOOKUP($B81,'высота 2'!$C$16:$AF$57,30,)</f>
        <v>#N/A</v>
      </c>
      <c r="J83" s="459" t="e">
        <f>VLOOKUP($B81,'4_р'!$C$17:$H$73,6,FALSE)</f>
        <v>#N/A</v>
      </c>
      <c r="K83" s="404" t="e">
        <f>VLOOKUP($B81,'1cб_р'!$C$17:$I$67,7,FALSE)</f>
        <v>#N/A</v>
      </c>
      <c r="L83" s="404" t="e">
        <f>VLOOKUP($B81,Дс_р!$C$16:$K$70,9,FALSE)</f>
        <v>#N/A</v>
      </c>
      <c r="M83" s="404" t="e">
        <f>VLOOKUP($B81,Ш_р!$C$15:$AF$69,30,FALSE)</f>
        <v>#N/A</v>
      </c>
      <c r="N83" s="404" t="e">
        <f>VLOOKUP($B81,К_р!$C$15:$K$68,9,FALSE)</f>
        <v>#N/A</v>
      </c>
      <c r="O83" s="404" t="e">
        <f>VLOOKUP($B81,'15_р'!$C$17:$H$86,6,FALSE)</f>
        <v>#N/A</v>
      </c>
      <c r="P83" s="474"/>
      <c r="Q83" s="493"/>
      <c r="R83" s="372"/>
      <c r="S83" s="404">
        <f>B81</f>
        <v>79</v>
      </c>
      <c r="T83" s="287" t="e">
        <f>$A81</f>
        <v>#N/A</v>
      </c>
      <c r="U83" s="287">
        <v>3</v>
      </c>
      <c r="V83" s="287" t="s">
        <v>162</v>
      </c>
      <c r="W83" s="492"/>
      <c r="X83" s="492"/>
      <c r="Y83" s="492"/>
      <c r="Z83" s="492"/>
      <c r="AA83" s="492"/>
      <c r="AB83" s="492"/>
      <c r="AC83" s="492"/>
      <c r="AD83" s="492"/>
      <c r="AE83" s="492"/>
      <c r="AF83" s="492"/>
      <c r="AG83" s="287"/>
      <c r="AH83" s="231"/>
      <c r="AI83" s="231"/>
      <c r="AJ83" s="404">
        <v>319</v>
      </c>
      <c r="AK83" s="231"/>
      <c r="AL83" s="287"/>
      <c r="AM83" s="287"/>
      <c r="AN83" s="287"/>
      <c r="AO83" s="287"/>
    </row>
    <row r="84" spans="1:41" s="280" customFormat="1" ht="13.2" hidden="1" customHeight="1" x14ac:dyDescent="0.35">
      <c r="A84" s="231"/>
      <c r="B84" s="404"/>
      <c r="C84" s="451" t="str">
        <f>VLOOKUP(B81,Уч!$A$2:$L$34,11,FALSE)</f>
        <v>Мирошниченко В.И., Журавлева Т.В.</v>
      </c>
      <c r="D84" s="444"/>
      <c r="E84" s="509" t="s">
        <v>276</v>
      </c>
      <c r="F84" s="458">
        <f>F83</f>
        <v>832</v>
      </c>
      <c r="G84" s="404" t="e">
        <f>F84+G83</f>
        <v>#N/A</v>
      </c>
      <c r="H84" s="404" t="e">
        <f>G84+H83</f>
        <v>#N/A</v>
      </c>
      <c r="I84" s="404" t="e">
        <f>H84+I83</f>
        <v>#N/A</v>
      </c>
      <c r="J84" s="459" t="e">
        <f>SUM($F83:J83)</f>
        <v>#N/A</v>
      </c>
      <c r="K84" s="404" t="e">
        <f>SUM($F83:$K83)</f>
        <v>#N/A</v>
      </c>
      <c r="L84" s="404" t="e">
        <f>K84+L83</f>
        <v>#N/A</v>
      </c>
      <c r="M84" s="404" t="e">
        <f>L84+M83</f>
        <v>#N/A</v>
      </c>
      <c r="N84" s="404" t="e">
        <f>SUM($F83:$N83)</f>
        <v>#N/A</v>
      </c>
      <c r="O84" s="404" t="e">
        <f>SUM($F83:$O83)</f>
        <v>#N/A</v>
      </c>
      <c r="P84" s="474"/>
      <c r="Q84" s="303"/>
      <c r="R84" s="372"/>
      <c r="S84" s="404">
        <f>B81</f>
        <v>79</v>
      </c>
      <c r="T84" s="287" t="e">
        <f>$A81</f>
        <v>#N/A</v>
      </c>
      <c r="U84" s="287">
        <v>4</v>
      </c>
      <c r="V84" s="287" t="s">
        <v>162</v>
      </c>
      <c r="W84" s="372">
        <f t="shared" ref="W84:AF84" si="13">F84</f>
        <v>832</v>
      </c>
      <c r="X84" s="372" t="e">
        <f t="shared" si="13"/>
        <v>#N/A</v>
      </c>
      <c r="Y84" s="372" t="e">
        <f t="shared" si="13"/>
        <v>#N/A</v>
      </c>
      <c r="Z84" s="372" t="e">
        <f t="shared" si="13"/>
        <v>#N/A</v>
      </c>
      <c r="AA84" s="372" t="e">
        <f t="shared" si="13"/>
        <v>#N/A</v>
      </c>
      <c r="AB84" s="372" t="e">
        <f t="shared" si="13"/>
        <v>#N/A</v>
      </c>
      <c r="AC84" s="372" t="e">
        <f t="shared" si="13"/>
        <v>#N/A</v>
      </c>
      <c r="AD84" s="372" t="e">
        <f t="shared" si="13"/>
        <v>#N/A</v>
      </c>
      <c r="AE84" s="372" t="e">
        <f t="shared" si="13"/>
        <v>#N/A</v>
      </c>
      <c r="AF84" s="372" t="e">
        <f t="shared" si="13"/>
        <v>#N/A</v>
      </c>
      <c r="AG84" s="287"/>
      <c r="AH84" s="231"/>
      <c r="AI84" s="231"/>
      <c r="AJ84" s="404">
        <v>319</v>
      </c>
      <c r="AK84" s="231"/>
      <c r="AL84" s="287"/>
      <c r="AM84" s="287"/>
      <c r="AN84" s="287"/>
      <c r="AO84" s="287"/>
    </row>
    <row r="85" spans="1:41" s="280" customFormat="1" ht="13.2" hidden="1" customHeight="1" thickBot="1" x14ac:dyDescent="0.3">
      <c r="A85" s="460"/>
      <c r="B85" s="461"/>
      <c r="C85" s="462">
        <f>VLOOKUP(B81,Уч!$A$2:$L$34,12,FALSE)</f>
        <v>0</v>
      </c>
      <c r="D85" s="467"/>
      <c r="E85" s="510" t="s">
        <v>59</v>
      </c>
      <c r="F85" s="464" t="e">
        <f>RANK(F84,$W$19:$W$150,0)</f>
        <v>#N/A</v>
      </c>
      <c r="G85" s="461" t="e">
        <f>RANK(G84,$X$19:$X$150,0)</f>
        <v>#N/A</v>
      </c>
      <c r="H85" s="461" t="e">
        <f>RANK(H84,$Y$19:$Y$150,0)</f>
        <v>#N/A</v>
      </c>
      <c r="I85" s="461" t="e">
        <f>RANK(I84,$Z$19:$Z$150,0)</f>
        <v>#N/A</v>
      </c>
      <c r="J85" s="465" t="e">
        <f>RANK(J84,$AA$19:$AA$150,0)</f>
        <v>#N/A</v>
      </c>
      <c r="K85" s="461" t="e">
        <f>RANK(K84,$AB$19:$AB$150,0)</f>
        <v>#N/A</v>
      </c>
      <c r="L85" s="461" t="e">
        <f>RANK(L84,$AC$19:$AC$150,0)</f>
        <v>#N/A</v>
      </c>
      <c r="M85" s="461" t="e">
        <f>RANK(M84,$AD$19:$AD$150,0)</f>
        <v>#N/A</v>
      </c>
      <c r="N85" s="461" t="e">
        <f>RANK(N84,$AE$19:$AE$150,0)</f>
        <v>#N/A</v>
      </c>
      <c r="O85" s="461" t="e">
        <f>RANK(O84,$AF$19:$AF$150,0)</f>
        <v>#N/A</v>
      </c>
      <c r="P85" s="494"/>
      <c r="Q85" s="495"/>
      <c r="R85" s="442"/>
      <c r="S85" s="205">
        <f>B81</f>
        <v>79</v>
      </c>
      <c r="T85" s="287" t="e">
        <f>$A81</f>
        <v>#N/A</v>
      </c>
      <c r="U85" s="287">
        <v>5</v>
      </c>
      <c r="V85" s="287" t="s">
        <v>162</v>
      </c>
      <c r="W85" s="492"/>
      <c r="X85" s="492"/>
      <c r="Y85" s="492"/>
      <c r="Z85" s="492"/>
      <c r="AA85" s="492"/>
      <c r="AB85" s="492"/>
      <c r="AC85" s="492"/>
      <c r="AD85" s="492"/>
      <c r="AE85" s="492"/>
      <c r="AF85" s="492"/>
      <c r="AG85" s="287"/>
      <c r="AH85" s="231"/>
      <c r="AI85" s="231"/>
      <c r="AJ85" s="404">
        <v>319</v>
      </c>
      <c r="AK85" s="231"/>
      <c r="AL85" s="287"/>
      <c r="AM85" s="287"/>
      <c r="AN85" s="287"/>
      <c r="AO85" s="287"/>
    </row>
    <row r="86" spans="1:41" s="287" customFormat="1" ht="13.2" hidden="1" customHeight="1" thickTop="1" x14ac:dyDescent="0.35">
      <c r="A86" s="231" t="e">
        <f>RANK(P86,$P$16:$P$150,0)</f>
        <v>#N/A</v>
      </c>
      <c r="B86" s="404">
        <v>15</v>
      </c>
      <c r="C86" s="443" t="e">
        <f>VLOOKUP(B86,Уч!$A$2:$L$34,2,FALSE)</f>
        <v>#N/A</v>
      </c>
      <c r="D86" s="444" t="e">
        <f>VLOOKUP(B86,Уч!$A$2:$L$34,3,FALSE)</f>
        <v>#N/A</v>
      </c>
      <c r="E86" s="509" t="s">
        <v>19</v>
      </c>
      <c r="F86" s="445" t="e">
        <f>VLOOKUP($B86,'100 м 1'!$C$18:$I$87,5,FALSE)</f>
        <v>#N/A</v>
      </c>
      <c r="G86" s="446" t="e">
        <f>VLOOKUP($B86,'длина 2 '!$C$16:$O$54,11,FALSE)</f>
        <v>#N/A</v>
      </c>
      <c r="H86" s="446" t="e">
        <f>VLOOKUP($B86,'ядро 2'!$C$16:$K$60,8,FALSE)</f>
        <v>#N/A</v>
      </c>
      <c r="I86" s="446" t="e">
        <f>VLOOKUP($B86,'высота 2'!$C$16:$AF$57,29,FALSE)</f>
        <v>#N/A</v>
      </c>
      <c r="J86" s="447" t="e">
        <f>VLOOKUP($B86,'4_р'!$C$17:$H$73,5,FALSE)</f>
        <v>#N/A</v>
      </c>
      <c r="K86" s="446" t="e">
        <f>VLOOKUP($B86,'1cб_р'!$C$17:$I$67,5,FALSE)</f>
        <v>#N/A</v>
      </c>
      <c r="L86" s="446" t="e">
        <f>VLOOKUP($B86,Дс_р!$C$16:$K$70,8,FALSE)</f>
        <v>#N/A</v>
      </c>
      <c r="M86" s="446" t="e">
        <f>VLOOKUP($B86,Ш_р!$C$15:$AF$69,29,FALSE)</f>
        <v>#N/A</v>
      </c>
      <c r="N86" s="446" t="e">
        <f>VLOOKUP($B86,К_р!$C$15:$K$68,8,FALSE)</f>
        <v>#N/A</v>
      </c>
      <c r="O86" s="404">
        <f>VLOOKUP($B86,'15_р'!$C$17:$H$86,5,FALSE)</f>
        <v>0</v>
      </c>
      <c r="P86" s="491" t="e">
        <f>SUM(F88:O88)</f>
        <v>#N/A</v>
      </c>
      <c r="Q86" s="231" t="e">
        <f>LOOKUP(P86,Y$1:AH$1,Y$2:AH$2)</f>
        <v>#N/A</v>
      </c>
      <c r="R86" s="404" t="e">
        <f>AH86+AI86+5</f>
        <v>#N/A</v>
      </c>
      <c r="S86" s="404">
        <f>B86</f>
        <v>15</v>
      </c>
      <c r="T86" s="287" t="e">
        <f>$A86</f>
        <v>#N/A</v>
      </c>
      <c r="U86" s="287">
        <v>1</v>
      </c>
      <c r="V86" s="287" t="e">
        <f>$A86</f>
        <v>#N/A</v>
      </c>
      <c r="W86" s="449"/>
      <c r="X86" s="307"/>
      <c r="Y86" s="307"/>
      <c r="Z86" s="307"/>
      <c r="AA86" s="307"/>
      <c r="AB86" s="307"/>
      <c r="AC86" s="307"/>
      <c r="AD86" s="450"/>
      <c r="AE86" s="450"/>
      <c r="AF86" s="450"/>
      <c r="AG86" s="280"/>
      <c r="AH86" s="280" t="e">
        <f>IF(AND(T86&gt;16,P86&gt;=6200),"1",LOOKUP(T86,Y$5:AO$5,Y$6:AO$6))</f>
        <v>#N/A</v>
      </c>
      <c r="AI86" s="280" t="e">
        <f>LOOKUP(Q86,Y$8:AD$8,Y$9:AD$9)</f>
        <v>#N/A</v>
      </c>
      <c r="AJ86" s="404">
        <v>334</v>
      </c>
      <c r="AK86" s="231"/>
      <c r="AL86" s="280"/>
      <c r="AM86" s="280"/>
      <c r="AN86" s="280"/>
      <c r="AO86" s="280"/>
    </row>
    <row r="87" spans="1:41" s="287" customFormat="1" ht="13.2" hidden="1" customHeight="1" x14ac:dyDescent="0.35">
      <c r="A87" s="231"/>
      <c r="B87" s="404"/>
      <c r="C87" s="451" t="e">
        <f>VLOOKUP(B86,Уч!$A$2:$L$34,5,FALSE)</f>
        <v>#N/A</v>
      </c>
      <c r="D87" s="444" t="e">
        <f>VLOOKUP(B86,Уч!$A$2:$L$34,4,FALSE)</f>
        <v>#N/A</v>
      </c>
      <c r="E87" s="509" t="s">
        <v>25</v>
      </c>
      <c r="F87" s="453" t="e">
        <f>VLOOKUP($B86,'100 м 1'!$C$18:$I$87,6,FALSE)</f>
        <v>#N/A</v>
      </c>
      <c r="G87" s="454" t="e">
        <f>VLOOKUP($B86,'длина 2 '!$C$16:$O$54,12,FALSE)</f>
        <v>#N/A</v>
      </c>
      <c r="H87" s="404"/>
      <c r="I87" s="454"/>
      <c r="J87" s="455"/>
      <c r="K87" s="454" t="e">
        <f>VLOOKUP($B86,'1cб_р'!$C$17:$I$67,6,FALSE)</f>
        <v>#N/A</v>
      </c>
      <c r="L87" s="454"/>
      <c r="M87" s="454"/>
      <c r="N87" s="404"/>
      <c r="O87" s="404"/>
      <c r="P87" s="448"/>
      <c r="Q87" s="456"/>
      <c r="R87" s="404" t="e">
        <f>CONCATENATE(AH86,"+",AI86,"+",5)</f>
        <v>#N/A</v>
      </c>
      <c r="S87" s="404">
        <f>B86</f>
        <v>15</v>
      </c>
      <c r="T87" s="287" t="e">
        <f>$A86</f>
        <v>#N/A</v>
      </c>
      <c r="U87" s="287">
        <v>2</v>
      </c>
      <c r="V87" s="287" t="e">
        <f>$A86</f>
        <v>#N/A</v>
      </c>
      <c r="W87" s="449"/>
      <c r="X87" s="307"/>
      <c r="Y87" s="307"/>
      <c r="Z87" s="307"/>
      <c r="AA87" s="307"/>
      <c r="AB87" s="307"/>
      <c r="AC87" s="307"/>
      <c r="AD87" s="450"/>
      <c r="AE87" s="450"/>
      <c r="AF87" s="450"/>
      <c r="AG87" s="280"/>
      <c r="AH87" s="231"/>
      <c r="AI87" s="231"/>
      <c r="AJ87" s="404">
        <v>334</v>
      </c>
      <c r="AK87" s="231"/>
      <c r="AL87" s="280"/>
      <c r="AM87" s="280"/>
      <c r="AN87" s="280"/>
      <c r="AO87" s="280"/>
    </row>
    <row r="88" spans="1:41" s="287" customFormat="1" ht="13.2" hidden="1" customHeight="1" x14ac:dyDescent="0.35">
      <c r="A88" s="231"/>
      <c r="B88" s="404"/>
      <c r="C88" s="457" t="e">
        <f>VLOOKUP(B86,Уч!$A$2:$L$34,7,FALSE)</f>
        <v>#N/A</v>
      </c>
      <c r="D88" s="444"/>
      <c r="E88" s="509" t="s">
        <v>29</v>
      </c>
      <c r="F88" s="458" t="e">
        <f>VLOOKUP($B86,'100 м 1'!$C$18:$I$87,7,FALSE)</f>
        <v>#N/A</v>
      </c>
      <c r="G88" s="404" t="e">
        <f>VLOOKUP($B86,'длина 2 '!$C$16:$O$54,13,FALSE)</f>
        <v>#N/A</v>
      </c>
      <c r="H88" s="404" t="e">
        <f>VLOOKUP($B86,'ядро 2'!$C$16:$K$60,9,FALSE)</f>
        <v>#N/A</v>
      </c>
      <c r="I88" s="404" t="e">
        <f>VLOOKUP($B86,'высота 2'!$C$16:$AF$57,30,)</f>
        <v>#N/A</v>
      </c>
      <c r="J88" s="459" t="e">
        <f>VLOOKUP($B86,'4_р'!$C$17:$H$73,6,FALSE)</f>
        <v>#N/A</v>
      </c>
      <c r="K88" s="404" t="e">
        <f>VLOOKUP($B86,'1cб_р'!$C$17:$I$67,7,FALSE)</f>
        <v>#N/A</v>
      </c>
      <c r="L88" s="404" t="e">
        <f>VLOOKUP($B86,Дс_р!$C$16:$K$70,9,FALSE)</f>
        <v>#N/A</v>
      </c>
      <c r="M88" s="404" t="e">
        <f>VLOOKUP($B86,Ш_р!$C$15:$AF$69,30,FALSE)</f>
        <v>#N/A</v>
      </c>
      <c r="N88" s="404" t="e">
        <f>VLOOKUP($B86,К_р!$C$15:$K$68,9,FALSE)</f>
        <v>#N/A</v>
      </c>
      <c r="O88" s="404">
        <f>VLOOKUP($B86,'15_р'!$C$17:$H$86,6,FALSE)</f>
        <v>0</v>
      </c>
      <c r="P88" s="448"/>
      <c r="Q88" s="456"/>
      <c r="R88" s="372"/>
      <c r="S88" s="404">
        <f>B86</f>
        <v>15</v>
      </c>
      <c r="T88" s="287" t="e">
        <f>$A86</f>
        <v>#N/A</v>
      </c>
      <c r="U88" s="287">
        <v>3</v>
      </c>
      <c r="V88" s="287" t="e">
        <f>$A86</f>
        <v>#N/A</v>
      </c>
      <c r="W88" s="449"/>
      <c r="X88" s="307"/>
      <c r="Y88" s="307"/>
      <c r="Z88" s="307"/>
      <c r="AA88" s="307"/>
      <c r="AB88" s="307"/>
      <c r="AC88" s="307"/>
      <c r="AD88" s="450"/>
      <c r="AE88" s="450"/>
      <c r="AF88" s="450"/>
      <c r="AG88" s="280"/>
      <c r="AH88" s="231"/>
      <c r="AI88" s="231"/>
      <c r="AJ88" s="404">
        <v>334</v>
      </c>
      <c r="AK88" s="231"/>
      <c r="AL88" s="280"/>
      <c r="AM88" s="280"/>
      <c r="AN88" s="280"/>
      <c r="AO88" s="280"/>
    </row>
    <row r="89" spans="1:41" s="287" customFormat="1" ht="13.2" hidden="1" customHeight="1" x14ac:dyDescent="0.35">
      <c r="A89" s="231"/>
      <c r="B89" s="404"/>
      <c r="C89" s="451" t="e">
        <f>VLOOKUP(B86,Уч!$A$2:$L$34,11,FALSE)</f>
        <v>#N/A</v>
      </c>
      <c r="D89" s="444"/>
      <c r="E89" s="509" t="s">
        <v>276</v>
      </c>
      <c r="F89" s="458" t="e">
        <f>F88</f>
        <v>#N/A</v>
      </c>
      <c r="G89" s="404" t="e">
        <f>F89+G88</f>
        <v>#N/A</v>
      </c>
      <c r="H89" s="404" t="e">
        <f>G89+H88</f>
        <v>#N/A</v>
      </c>
      <c r="I89" s="404" t="e">
        <f>H89+I88</f>
        <v>#N/A</v>
      </c>
      <c r="J89" s="459" t="e">
        <f>SUM($F88:J88)</f>
        <v>#N/A</v>
      </c>
      <c r="K89" s="404" t="e">
        <f>SUM($F88:$K88)</f>
        <v>#N/A</v>
      </c>
      <c r="L89" s="404" t="e">
        <f>K89+L88</f>
        <v>#N/A</v>
      </c>
      <c r="M89" s="404" t="e">
        <f>L89+M88</f>
        <v>#N/A</v>
      </c>
      <c r="N89" s="404" t="e">
        <f>SUM($F88:$N88)</f>
        <v>#N/A</v>
      </c>
      <c r="O89" s="404" t="e">
        <f>SUM($F88:$O88)</f>
        <v>#N/A</v>
      </c>
      <c r="P89" s="448"/>
      <c r="Q89" s="456"/>
      <c r="R89" s="372"/>
      <c r="S89" s="404">
        <f>B86</f>
        <v>15</v>
      </c>
      <c r="T89" s="287" t="e">
        <f>$A86</f>
        <v>#N/A</v>
      </c>
      <c r="U89" s="287">
        <v>4</v>
      </c>
      <c r="V89" s="287" t="e">
        <f>$A86</f>
        <v>#N/A</v>
      </c>
      <c r="W89" s="372" t="e">
        <f t="shared" ref="W89:AF89" si="14">F89</f>
        <v>#N/A</v>
      </c>
      <c r="X89" s="372" t="e">
        <f t="shared" si="14"/>
        <v>#N/A</v>
      </c>
      <c r="Y89" s="372" t="e">
        <f t="shared" si="14"/>
        <v>#N/A</v>
      </c>
      <c r="Z89" s="372" t="e">
        <f t="shared" si="14"/>
        <v>#N/A</v>
      </c>
      <c r="AA89" s="372" t="e">
        <f t="shared" si="14"/>
        <v>#N/A</v>
      </c>
      <c r="AB89" s="372" t="e">
        <f t="shared" si="14"/>
        <v>#N/A</v>
      </c>
      <c r="AC89" s="372" t="e">
        <f t="shared" si="14"/>
        <v>#N/A</v>
      </c>
      <c r="AD89" s="372" t="e">
        <f t="shared" si="14"/>
        <v>#N/A</v>
      </c>
      <c r="AE89" s="372" t="e">
        <f t="shared" si="14"/>
        <v>#N/A</v>
      </c>
      <c r="AF89" s="372" t="e">
        <f t="shared" si="14"/>
        <v>#N/A</v>
      </c>
      <c r="AG89" s="280"/>
      <c r="AH89" s="231"/>
      <c r="AI89" s="231"/>
      <c r="AJ89" s="404">
        <v>334</v>
      </c>
      <c r="AK89" s="231"/>
      <c r="AL89" s="280"/>
      <c r="AM89" s="280"/>
      <c r="AN89" s="280"/>
      <c r="AO89" s="280"/>
    </row>
    <row r="90" spans="1:41" s="287" customFormat="1" ht="13.2" hidden="1" customHeight="1" thickBot="1" x14ac:dyDescent="0.3">
      <c r="A90" s="460"/>
      <c r="B90" s="461"/>
      <c r="C90" s="462" t="e">
        <f>VLOOKUP(B86,Уч!$A$2:$L$34,12,FALSE)</f>
        <v>#N/A</v>
      </c>
      <c r="D90" s="467"/>
      <c r="E90" s="510" t="s">
        <v>59</v>
      </c>
      <c r="F90" s="464" t="e">
        <f>RANK(F89,$W$19:$W$150,0)</f>
        <v>#N/A</v>
      </c>
      <c r="G90" s="461" t="e">
        <f>RANK(G89,$X$19:$X$150,0)</f>
        <v>#N/A</v>
      </c>
      <c r="H90" s="461" t="e">
        <f>RANK(H89,$Y$19:$Y$150,0)</f>
        <v>#N/A</v>
      </c>
      <c r="I90" s="461" t="e">
        <f>RANK(I89,$Z$19:$Z$150,0)</f>
        <v>#N/A</v>
      </c>
      <c r="J90" s="465" t="e">
        <f>RANK(J89,$AA$19:$AA$150,0)</f>
        <v>#N/A</v>
      </c>
      <c r="K90" s="461" t="e">
        <f>RANK(K89,$AB$19:$AB$150,0)</f>
        <v>#N/A</v>
      </c>
      <c r="L90" s="461" t="e">
        <f>RANK(L89,$AC$19:$AC$150,0)</f>
        <v>#N/A</v>
      </c>
      <c r="M90" s="461" t="e">
        <f>RANK(M89,$AD$19:$AD$150,0)</f>
        <v>#N/A</v>
      </c>
      <c r="N90" s="461" t="e">
        <f>RANK(N89,$AE$19:$AE$150,0)</f>
        <v>#N/A</v>
      </c>
      <c r="O90" s="461" t="e">
        <f>RANK(O89,$AF$19:$AF$150,0)</f>
        <v>#N/A</v>
      </c>
      <c r="P90" s="466"/>
      <c r="Q90" s="442"/>
      <c r="R90" s="442"/>
      <c r="S90" s="205">
        <f>B86</f>
        <v>15</v>
      </c>
      <c r="T90" s="287" t="e">
        <f>$A86</f>
        <v>#N/A</v>
      </c>
      <c r="U90" s="287">
        <v>5</v>
      </c>
      <c r="V90" s="287" t="e">
        <f>$A86</f>
        <v>#N/A</v>
      </c>
      <c r="W90" s="449"/>
      <c r="X90" s="307"/>
      <c r="Y90" s="307"/>
      <c r="Z90" s="307"/>
      <c r="AA90" s="307"/>
      <c r="AB90" s="307"/>
      <c r="AC90" s="307"/>
      <c r="AD90" s="450"/>
      <c r="AE90" s="450"/>
      <c r="AF90" s="450"/>
      <c r="AG90" s="280"/>
      <c r="AH90" s="280"/>
      <c r="AI90" s="280"/>
      <c r="AJ90" s="404">
        <v>334</v>
      </c>
      <c r="AK90" s="231"/>
      <c r="AL90" s="280"/>
      <c r="AM90" s="280"/>
      <c r="AN90" s="280"/>
      <c r="AO90" s="280"/>
    </row>
    <row r="91" spans="1:41" s="280" customFormat="1" ht="13.2" hidden="1" customHeight="1" thickTop="1" x14ac:dyDescent="0.35">
      <c r="A91" s="469" t="e">
        <f>RANK(P91,$P$16:$P$150,0)</f>
        <v>#N/A</v>
      </c>
      <c r="B91" s="404">
        <v>38</v>
      </c>
      <c r="C91" s="443" t="e">
        <f>VLOOKUP(B91,Уч!$A$2:$L$34,2,FALSE)</f>
        <v>#N/A</v>
      </c>
      <c r="D91" s="444" t="e">
        <f>VLOOKUP(B91,Уч!$A$2:$L$34,3,FALSE)</f>
        <v>#N/A</v>
      </c>
      <c r="E91" s="509" t="s">
        <v>19</v>
      </c>
      <c r="F91" s="445" t="e">
        <f>VLOOKUP($B91,'100 м 1'!$C$18:$I$87,5,FALSE)</f>
        <v>#N/A</v>
      </c>
      <c r="G91" s="446" t="e">
        <f>VLOOKUP($B91,'длина 2 '!$C$16:$O$54,11,FALSE)</f>
        <v>#N/A</v>
      </c>
      <c r="H91" s="471" t="e">
        <f>VLOOKUP($B91,'ядро 2'!$C$16:$K$60,8,FALSE)</f>
        <v>#N/A</v>
      </c>
      <c r="I91" s="471" t="e">
        <f>VLOOKUP($B91,'высота 2'!$C$16:$AF$57,29,FALSE)</f>
        <v>#N/A</v>
      </c>
      <c r="J91" s="472" t="e">
        <f>VLOOKUP($B91,'4_р'!$C$17:$H$73,5,FALSE)</f>
        <v>#N/A</v>
      </c>
      <c r="K91" s="471">
        <f>VLOOKUP($B91,'1cб_р'!$C$17:$I$67,5,FALSE)</f>
        <v>0</v>
      </c>
      <c r="L91" s="471">
        <f>VLOOKUP($B91,Дс_р!$C$16:$K$70,8,FALSE)</f>
        <v>0</v>
      </c>
      <c r="M91" s="471">
        <f>VLOOKUP($B91,Ш_р!$C$15:$AF$69,29,FALSE)</f>
        <v>0</v>
      </c>
      <c r="N91" s="471">
        <f>VLOOKUP($B91,К_р!$C$15:$K$68,8,FALSE)</f>
        <v>0</v>
      </c>
      <c r="O91" s="473">
        <f>VLOOKUP($B91,'15_р'!$C$17:$H$86,5,FALSE)</f>
        <v>0</v>
      </c>
      <c r="P91" s="474" t="e">
        <f>SUM(F93:O93)</f>
        <v>#N/A</v>
      </c>
      <c r="Q91" s="231" t="e">
        <f>LOOKUP(P91,Y$1:AH$1,Y$2:AH$2)</f>
        <v>#N/A</v>
      </c>
      <c r="R91" s="404" t="e">
        <f>AH91+AI91+5</f>
        <v>#N/A</v>
      </c>
      <c r="S91" s="404">
        <f>B91</f>
        <v>38</v>
      </c>
      <c r="T91" s="287" t="e">
        <f>$A91</f>
        <v>#N/A</v>
      </c>
      <c r="U91" s="287">
        <v>1</v>
      </c>
      <c r="V91" s="287" t="e">
        <f>$A91</f>
        <v>#N/A</v>
      </c>
      <c r="W91" s="449"/>
      <c r="X91" s="307"/>
      <c r="Y91" s="307"/>
      <c r="Z91" s="307"/>
      <c r="AA91" s="307"/>
      <c r="AB91" s="307"/>
      <c r="AC91" s="307"/>
      <c r="AD91" s="450"/>
      <c r="AE91" s="450"/>
      <c r="AF91" s="450"/>
      <c r="AH91" s="280" t="e">
        <f>IF(AND(T91&gt;16,P91&gt;=6200),"1",LOOKUP(T91,Y$5:AO$5,Y$6:AO$6))</f>
        <v>#N/A</v>
      </c>
      <c r="AI91" s="280" t="e">
        <f>LOOKUP(Q91,Y$8:AD$8,Y$9:AD$9)</f>
        <v>#N/A</v>
      </c>
      <c r="AJ91" s="404">
        <v>452</v>
      </c>
      <c r="AK91" s="231"/>
    </row>
    <row r="92" spans="1:41" s="280" customFormat="1" ht="13.2" hidden="1" customHeight="1" x14ac:dyDescent="0.35">
      <c r="A92" s="231"/>
      <c r="B92" s="404"/>
      <c r="C92" s="451" t="e">
        <f>VLOOKUP(B91,Уч!$A$2:$L$34,5,FALSE)</f>
        <v>#N/A</v>
      </c>
      <c r="D92" s="444" t="e">
        <f>VLOOKUP(B91,Уч!$A$2:$L$34,4,FALSE)</f>
        <v>#N/A</v>
      </c>
      <c r="E92" s="509" t="s">
        <v>25</v>
      </c>
      <c r="F92" s="453" t="e">
        <f>VLOOKUP($B91,'100 м 1'!$C$18:$I$87,6,FALSE)</f>
        <v>#N/A</v>
      </c>
      <c r="G92" s="454" t="e">
        <f>VLOOKUP($B91,'длина 2 '!$C$16:$O$54,12,FALSE)</f>
        <v>#N/A</v>
      </c>
      <c r="H92" s="473"/>
      <c r="I92" s="476"/>
      <c r="J92" s="477"/>
      <c r="K92" s="476">
        <f>VLOOKUP($B91,'1cб_р'!$C$17:$I$67,6,FALSE)</f>
        <v>0</v>
      </c>
      <c r="L92" s="476"/>
      <c r="M92" s="476"/>
      <c r="N92" s="473"/>
      <c r="O92" s="473"/>
      <c r="P92" s="448"/>
      <c r="Q92" s="456"/>
      <c r="R92" s="404" t="e">
        <f>CONCATENATE(AH91,"+",AI91,"+",5)</f>
        <v>#N/A</v>
      </c>
      <c r="S92" s="404">
        <f>B91</f>
        <v>38</v>
      </c>
      <c r="T92" s="287" t="e">
        <f>$A91</f>
        <v>#N/A</v>
      </c>
      <c r="U92" s="287">
        <v>2</v>
      </c>
      <c r="V92" s="287" t="e">
        <f>$A91</f>
        <v>#N/A</v>
      </c>
      <c r="W92" s="449"/>
      <c r="X92" s="307"/>
      <c r="Y92" s="307"/>
      <c r="Z92" s="307"/>
      <c r="AA92" s="307"/>
      <c r="AB92" s="307"/>
      <c r="AC92" s="307"/>
      <c r="AD92" s="450"/>
      <c r="AE92" s="450"/>
      <c r="AF92" s="450"/>
      <c r="AH92" s="231"/>
      <c r="AI92" s="231"/>
      <c r="AJ92" s="404">
        <v>452</v>
      </c>
      <c r="AK92" s="231"/>
    </row>
    <row r="93" spans="1:41" s="280" customFormat="1" ht="13.2" hidden="1" customHeight="1" x14ac:dyDescent="0.35">
      <c r="A93" s="231"/>
      <c r="B93" s="404"/>
      <c r="C93" s="457" t="e">
        <f>VLOOKUP(B91,Уч!$A$2:$L$34,7,FALSE)</f>
        <v>#N/A</v>
      </c>
      <c r="D93" s="444"/>
      <c r="E93" s="509" t="s">
        <v>29</v>
      </c>
      <c r="F93" s="458" t="e">
        <f>VLOOKUP($B91,'100 м 1'!$C$18:$I$87,7,FALSE)</f>
        <v>#N/A</v>
      </c>
      <c r="G93" s="404" t="e">
        <f>VLOOKUP($B91,'длина 2 '!$C$16:$O$54,13,FALSE)</f>
        <v>#N/A</v>
      </c>
      <c r="H93" s="473" t="e">
        <f>VLOOKUP($B91,'ядро 2'!$C$16:$K$60,9,FALSE)</f>
        <v>#N/A</v>
      </c>
      <c r="I93" s="473" t="e">
        <f>VLOOKUP($B91,'высота 2'!$C$16:$AF$57,30,)</f>
        <v>#N/A</v>
      </c>
      <c r="J93" s="479" t="e">
        <f>VLOOKUP($B91,'4_р'!$C$17:$H$73,6,FALSE)</f>
        <v>#N/A</v>
      </c>
      <c r="K93" s="473">
        <f>VLOOKUP($B91,'1cб_р'!$C$17:$I$67,7,FALSE)</f>
        <v>0</v>
      </c>
      <c r="L93" s="473">
        <f>VLOOKUP($B91,Дс_р!$C$16:$K$70,9,FALSE)</f>
        <v>0</v>
      </c>
      <c r="M93" s="473">
        <f>VLOOKUP($B91,Ш_р!$C$15:$AF$69,30,FALSE)</f>
        <v>0</v>
      </c>
      <c r="N93" s="473">
        <f>VLOOKUP($B91,К_р!$C$15:$K$68,9,FALSE)</f>
        <v>0</v>
      </c>
      <c r="O93" s="473">
        <f>VLOOKUP($B91,'15_р'!$C$17:$H$86,6,FALSE)</f>
        <v>0</v>
      </c>
      <c r="P93" s="448"/>
      <c r="Q93" s="468"/>
      <c r="R93" s="372"/>
      <c r="S93" s="404">
        <f>B91</f>
        <v>38</v>
      </c>
      <c r="T93" s="287" t="e">
        <f>$A91</f>
        <v>#N/A</v>
      </c>
      <c r="U93" s="287">
        <v>3</v>
      </c>
      <c r="V93" s="287" t="e">
        <f>$A91</f>
        <v>#N/A</v>
      </c>
      <c r="W93" s="449"/>
      <c r="X93" s="307"/>
      <c r="Y93" s="307"/>
      <c r="Z93" s="307"/>
      <c r="AA93" s="307"/>
      <c r="AB93" s="307"/>
      <c r="AC93" s="307"/>
      <c r="AD93" s="450"/>
      <c r="AE93" s="450"/>
      <c r="AF93" s="450"/>
      <c r="AH93" s="231"/>
      <c r="AI93" s="231"/>
      <c r="AJ93" s="404">
        <v>452</v>
      </c>
      <c r="AK93" s="231"/>
    </row>
    <row r="94" spans="1:41" s="280" customFormat="1" ht="13.2" hidden="1" customHeight="1" x14ac:dyDescent="0.35">
      <c r="A94" s="231"/>
      <c r="B94" s="404"/>
      <c r="C94" s="451" t="e">
        <f>VLOOKUP(B91,Уч!$A$2:$L$34,11,FALSE)</f>
        <v>#N/A</v>
      </c>
      <c r="D94" s="444"/>
      <c r="E94" s="509" t="s">
        <v>276</v>
      </c>
      <c r="F94" s="458" t="e">
        <f>F93</f>
        <v>#N/A</v>
      </c>
      <c r="G94" s="404" t="e">
        <f>F94+G93</f>
        <v>#N/A</v>
      </c>
      <c r="H94" s="473" t="e">
        <f>G94+H93</f>
        <v>#N/A</v>
      </c>
      <c r="I94" s="473" t="e">
        <f>H94+I93</f>
        <v>#N/A</v>
      </c>
      <c r="J94" s="479" t="e">
        <f>SUM($F93:J93)</f>
        <v>#N/A</v>
      </c>
      <c r="K94" s="473" t="e">
        <f>SUM($F93:$K93)</f>
        <v>#N/A</v>
      </c>
      <c r="L94" s="473" t="e">
        <f>K94+L93</f>
        <v>#N/A</v>
      </c>
      <c r="M94" s="473" t="e">
        <f>L94+M93</f>
        <v>#N/A</v>
      </c>
      <c r="N94" s="473" t="e">
        <f>SUM($F93:$N93)</f>
        <v>#N/A</v>
      </c>
      <c r="O94" s="473" t="e">
        <f>SUM($F93:$O93)</f>
        <v>#N/A</v>
      </c>
      <c r="P94" s="448"/>
      <c r="Q94" s="456"/>
      <c r="R94" s="372"/>
      <c r="S94" s="404">
        <f>B91</f>
        <v>38</v>
      </c>
      <c r="T94" s="287" t="e">
        <f>$A91</f>
        <v>#N/A</v>
      </c>
      <c r="U94" s="287">
        <v>4</v>
      </c>
      <c r="V94" s="287" t="e">
        <f>$A91</f>
        <v>#N/A</v>
      </c>
      <c r="W94" s="372" t="e">
        <f t="shared" ref="W94:AF94" si="15">F94</f>
        <v>#N/A</v>
      </c>
      <c r="X94" s="372" t="e">
        <f t="shared" si="15"/>
        <v>#N/A</v>
      </c>
      <c r="Y94" s="372" t="e">
        <f t="shared" si="15"/>
        <v>#N/A</v>
      </c>
      <c r="Z94" s="372" t="e">
        <f t="shared" si="15"/>
        <v>#N/A</v>
      </c>
      <c r="AA94" s="372" t="e">
        <f t="shared" si="15"/>
        <v>#N/A</v>
      </c>
      <c r="AB94" s="372" t="e">
        <f t="shared" si="15"/>
        <v>#N/A</v>
      </c>
      <c r="AC94" s="372" t="e">
        <f t="shared" si="15"/>
        <v>#N/A</v>
      </c>
      <c r="AD94" s="372" t="e">
        <f t="shared" si="15"/>
        <v>#N/A</v>
      </c>
      <c r="AE94" s="372" t="e">
        <f t="shared" si="15"/>
        <v>#N/A</v>
      </c>
      <c r="AF94" s="372" t="e">
        <f t="shared" si="15"/>
        <v>#N/A</v>
      </c>
      <c r="AH94" s="231"/>
      <c r="AI94" s="231"/>
      <c r="AJ94" s="404">
        <v>452</v>
      </c>
      <c r="AK94" s="231"/>
    </row>
    <row r="95" spans="1:41" s="280" customFormat="1" ht="13.2" hidden="1" customHeight="1" thickBot="1" x14ac:dyDescent="0.3">
      <c r="A95" s="460"/>
      <c r="B95" s="461"/>
      <c r="C95" s="462" t="e">
        <f>VLOOKUP(B91,Уч!$A$2:$L$34,12,FALSE)</f>
        <v>#N/A</v>
      </c>
      <c r="D95" s="467"/>
      <c r="E95" s="510" t="s">
        <v>59</v>
      </c>
      <c r="F95" s="464" t="e">
        <f>RANK(F94,$W$19:$W$150,0)</f>
        <v>#N/A</v>
      </c>
      <c r="G95" s="461" t="e">
        <f>RANK(G94,$X$19:$X$150,0)</f>
        <v>#N/A</v>
      </c>
      <c r="H95" s="481" t="e">
        <f>RANK(H94,$Y$19:$Y$150,0)</f>
        <v>#N/A</v>
      </c>
      <c r="I95" s="481" t="e">
        <f>RANK(I94,$Z$19:$Z$150,0)</f>
        <v>#N/A</v>
      </c>
      <c r="J95" s="482" t="e">
        <f>RANK(J94,$AA$19:$AA$150,0)</f>
        <v>#N/A</v>
      </c>
      <c r="K95" s="481" t="e">
        <f>RANK(K94,$AB$19:$AB$150,0)</f>
        <v>#N/A</v>
      </c>
      <c r="L95" s="481" t="e">
        <f>RANK(L94,$AC$19:$AC$150,0)</f>
        <v>#N/A</v>
      </c>
      <c r="M95" s="481" t="e">
        <f>RANK(M94,$AD$19:$AD$150,0)</f>
        <v>#N/A</v>
      </c>
      <c r="N95" s="481" t="e">
        <f>RANK(N94,$AE$19:$AE$150,0)</f>
        <v>#N/A</v>
      </c>
      <c r="O95" s="481" t="e">
        <f>RANK(O94,$AF$19:$AF$150,0)</f>
        <v>#N/A</v>
      </c>
      <c r="P95" s="466"/>
      <c r="Q95" s="442"/>
      <c r="R95" s="442"/>
      <c r="S95" s="205">
        <f>B91</f>
        <v>38</v>
      </c>
      <c r="T95" s="287" t="e">
        <f>$A91</f>
        <v>#N/A</v>
      </c>
      <c r="U95" s="287">
        <v>5</v>
      </c>
      <c r="V95" s="287" t="e">
        <f>$A91</f>
        <v>#N/A</v>
      </c>
      <c r="W95" s="449"/>
      <c r="X95" s="307"/>
      <c r="Y95" s="307"/>
      <c r="Z95" s="307"/>
      <c r="AA95" s="307"/>
      <c r="AB95" s="307"/>
      <c r="AC95" s="307"/>
      <c r="AD95" s="450"/>
      <c r="AE95" s="450"/>
      <c r="AF95" s="450"/>
      <c r="AH95" s="231"/>
      <c r="AI95" s="231"/>
      <c r="AJ95" s="404">
        <v>452</v>
      </c>
      <c r="AK95" s="231"/>
    </row>
    <row r="96" spans="1:41" s="280" customFormat="1" ht="13.2" hidden="1" customHeight="1" thickTop="1" x14ac:dyDescent="0.35">
      <c r="A96" s="469" t="e">
        <f>RANK(P96,$P$16:$P$150,0)</f>
        <v>#N/A</v>
      </c>
      <c r="B96" s="404">
        <v>40</v>
      </c>
      <c r="C96" s="443" t="str">
        <f>VLOOKUP(B96,Уч!$A$2:$L$34,2,FALSE)</f>
        <v>Черкасов Алексей</v>
      </c>
      <c r="D96" s="444" t="str">
        <f>VLOOKUP(B96,Уч!$A$2:$L$34,3,FALSE)</f>
        <v>22.10.1994</v>
      </c>
      <c r="E96" s="509" t="s">
        <v>19</v>
      </c>
      <c r="F96" s="445">
        <f>VLOOKUP($B96,'100 м 1'!$C$18:$I$87,5,FALSE)</f>
        <v>11.53</v>
      </c>
      <c r="G96" s="471">
        <f>VLOOKUP($B96,'длина 2 '!$C$16:$O$54,11,FALSE)</f>
        <v>6.24</v>
      </c>
      <c r="H96" s="471">
        <f>VLOOKUP($B96,'ядро 2'!$C$16:$K$60,8,FALSE)</f>
        <v>12.93</v>
      </c>
      <c r="I96" s="471">
        <f>VLOOKUP($B96,'высота 2'!$C$16:$AF$57,29,FALSE)</f>
        <v>1.91</v>
      </c>
      <c r="J96" s="472">
        <f>VLOOKUP($B96,'4_р'!$C$17:$H$73,5,FALSE)</f>
        <v>52.72</v>
      </c>
      <c r="K96" s="471">
        <f>VLOOKUP($B96,'1cб_р'!$C$17:$I$67,5,FALSE)</f>
        <v>15.18</v>
      </c>
      <c r="L96" s="471">
        <f>VLOOKUP($B96,Дс_р!$C$16:$K$70,8,FALSE)</f>
        <v>32.729999999999997</v>
      </c>
      <c r="M96" s="471">
        <f>VLOOKUP($B96,Ш_р!$C$15:$AF$69,29,FALSE)</f>
        <v>0</v>
      </c>
      <c r="N96" s="471">
        <f>VLOOKUP($B96,К_р!$C$15:$K$68,8,FALSE)</f>
        <v>53.68</v>
      </c>
      <c r="O96" s="473" t="str">
        <f>VLOOKUP($B96,'15_р'!$C$17:$H$86,5,FALSE)</f>
        <v>4:56.96</v>
      </c>
      <c r="P96" s="496">
        <f>SUM(F98:O98)</f>
        <v>4669</v>
      </c>
      <c r="Q96" s="469">
        <f>LOOKUP(P96,Y$1:AH$1,Y$2:AH$2)</f>
        <v>2</v>
      </c>
      <c r="R96" s="404" t="e">
        <f>AH96+AI96+5</f>
        <v>#N/A</v>
      </c>
      <c r="S96" s="404">
        <f>B96</f>
        <v>40</v>
      </c>
      <c r="T96" s="287" t="e">
        <f>$A96</f>
        <v>#N/A</v>
      </c>
      <c r="U96" s="287">
        <v>1</v>
      </c>
      <c r="V96" s="287" t="s">
        <v>162</v>
      </c>
      <c r="W96" s="449"/>
      <c r="X96" s="307"/>
      <c r="Y96" s="307"/>
      <c r="Z96" s="307"/>
      <c r="AA96" s="307"/>
      <c r="AB96" s="307"/>
      <c r="AC96" s="307"/>
      <c r="AD96" s="450"/>
      <c r="AE96" s="450"/>
      <c r="AF96" s="450"/>
      <c r="AH96" s="280" t="e">
        <f>IF(AND(T96&gt;16,P96&gt;=6200),"1",LOOKUP(T96,Y$5:AO$5,Y$6:AO$6))</f>
        <v>#N/A</v>
      </c>
      <c r="AI96" s="280">
        <f>LOOKUP(Q96,Y$8:AD$8,Y$9:AD$9)</f>
        <v>0</v>
      </c>
      <c r="AJ96" s="404">
        <v>455</v>
      </c>
      <c r="AK96" s="231"/>
    </row>
    <row r="97" spans="1:37" s="280" customFormat="1" ht="13.2" hidden="1" customHeight="1" x14ac:dyDescent="0.35">
      <c r="A97" s="231"/>
      <c r="B97" s="404"/>
      <c r="C97" s="451" t="str">
        <f>VLOOKUP(B96,Уч!$A$2:$L$34,5,FALSE)</f>
        <v xml:space="preserve">Кемеровская область Санкт-Петербург </v>
      </c>
      <c r="D97" s="444" t="str">
        <f>VLOOKUP(B96,Уч!$A$2:$L$34,4,FALSE)</f>
        <v>МС</v>
      </c>
      <c r="E97" s="509" t="s">
        <v>25</v>
      </c>
      <c r="F97" s="453">
        <f>VLOOKUP($B96,'100 м 1'!$C$18:$I$87,6,FALSE)</f>
        <v>0.8</v>
      </c>
      <c r="G97" s="476">
        <f>VLOOKUP($B96,'длина 2 '!$C$16:$O$54,12,FALSE)</f>
        <v>0.3</v>
      </c>
      <c r="H97" s="473"/>
      <c r="I97" s="476"/>
      <c r="J97" s="477"/>
      <c r="K97" s="476">
        <f>VLOOKUP($B96,'1cб_р'!$C$17:$I$67,6,FALSE)</f>
        <v>-1</v>
      </c>
      <c r="L97" s="476"/>
      <c r="M97" s="476"/>
      <c r="N97" s="473"/>
      <c r="O97" s="473"/>
      <c r="P97" s="448"/>
      <c r="Q97" s="456"/>
      <c r="R97" s="404" t="e">
        <f>CONCATENATE(AH96,"+",AI96,"+",5)</f>
        <v>#N/A</v>
      </c>
      <c r="S97" s="404">
        <f>B96</f>
        <v>40</v>
      </c>
      <c r="T97" s="287" t="e">
        <f>$A96</f>
        <v>#N/A</v>
      </c>
      <c r="U97" s="287">
        <v>2</v>
      </c>
      <c r="V97" s="287" t="s">
        <v>162</v>
      </c>
      <c r="W97" s="449"/>
      <c r="X97" s="307"/>
      <c r="Y97" s="307"/>
      <c r="Z97" s="307"/>
      <c r="AA97" s="307"/>
      <c r="AB97" s="307"/>
      <c r="AC97" s="307"/>
      <c r="AD97" s="450"/>
      <c r="AE97" s="450"/>
      <c r="AF97" s="450"/>
      <c r="AH97" s="231"/>
      <c r="AI97" s="231"/>
      <c r="AJ97" s="404">
        <v>455</v>
      </c>
      <c r="AK97" s="231"/>
    </row>
    <row r="98" spans="1:37" s="280" customFormat="1" ht="13.2" hidden="1" customHeight="1" x14ac:dyDescent="0.35">
      <c r="A98" s="231"/>
      <c r="B98" s="404"/>
      <c r="C98" s="457" t="str">
        <f>VLOOKUP(B96,Уч!$A$2:$L$34,7,FALSE)</f>
        <v>МА ФСУ «СШОР по легкой атлетике», ГАУ КО "ЦП ССК", СПб ГБУ ЦОП "ШВСМ по легкой атлетике"</v>
      </c>
      <c r="D98" s="444"/>
      <c r="E98" s="509" t="s">
        <v>29</v>
      </c>
      <c r="F98" s="458">
        <f>VLOOKUP($B96,'100 м 1'!$C$18:$I$87,7,FALSE)</f>
        <v>746</v>
      </c>
      <c r="G98" s="473">
        <f>VLOOKUP($B96,'длина 2 '!$C$16:$O$54,13,FALSE)</f>
        <v>0</v>
      </c>
      <c r="H98" s="473">
        <f>VLOOKUP($B96,'ядро 2'!$C$16:$K$60,9,FALSE)</f>
        <v>663</v>
      </c>
      <c r="I98" s="473">
        <f>VLOOKUP($B96,'высота 2'!$C$16:$AF$57,30,)</f>
        <v>0</v>
      </c>
      <c r="J98" s="479">
        <f>VLOOKUP($B96,'4_р'!$C$17:$H$73,6,FALSE)</f>
        <v>694</v>
      </c>
      <c r="K98" s="473">
        <f>VLOOKUP($B96,'1cб_р'!$C$17:$I$67,7,FALSE)</f>
        <v>828</v>
      </c>
      <c r="L98" s="473">
        <f>VLOOKUP($B96,Дс_р!$C$16:$K$70,9,FALSE)</f>
        <v>518</v>
      </c>
      <c r="M98" s="473">
        <f>VLOOKUP($B96,Ш_р!$C$15:$AF$69,30,FALSE)</f>
        <v>0</v>
      </c>
      <c r="N98" s="473">
        <f>VLOOKUP($B96,К_р!$C$15:$K$68,9,FALSE)</f>
        <v>643</v>
      </c>
      <c r="O98" s="473">
        <f>VLOOKUP($B96,'15_р'!$C$17:$H$86,6,FALSE)</f>
        <v>577</v>
      </c>
      <c r="P98" s="448"/>
      <c r="Q98" s="468"/>
      <c r="R98" s="372"/>
      <c r="S98" s="404">
        <f>B96</f>
        <v>40</v>
      </c>
      <c r="T98" s="287" t="e">
        <f>$A96</f>
        <v>#N/A</v>
      </c>
      <c r="U98" s="287">
        <v>3</v>
      </c>
      <c r="V98" s="287" t="s">
        <v>162</v>
      </c>
      <c r="W98" s="449"/>
      <c r="X98" s="307"/>
      <c r="Y98" s="307"/>
      <c r="Z98" s="307"/>
      <c r="AA98" s="307"/>
      <c r="AB98" s="307"/>
      <c r="AC98" s="307"/>
      <c r="AD98" s="450"/>
      <c r="AE98" s="450"/>
      <c r="AF98" s="450"/>
      <c r="AH98" s="231"/>
      <c r="AI98" s="231"/>
      <c r="AJ98" s="404">
        <v>455</v>
      </c>
      <c r="AK98" s="231"/>
    </row>
    <row r="99" spans="1:37" s="280" customFormat="1" ht="13.2" hidden="1" customHeight="1" x14ac:dyDescent="0.35">
      <c r="A99" s="231"/>
      <c r="B99" s="404"/>
      <c r="C99" s="451" t="str">
        <f>VLOOKUP(B96,Уч!$A$2:$L$34,11,FALSE)</f>
        <v>Залевская И.И., Овчинников Ю.В., Полосухин К.А.</v>
      </c>
      <c r="D99" s="444"/>
      <c r="E99" s="509" t="s">
        <v>276</v>
      </c>
      <c r="F99" s="458">
        <f>F98</f>
        <v>746</v>
      </c>
      <c r="G99" s="473">
        <f>F99+G98</f>
        <v>746</v>
      </c>
      <c r="H99" s="473">
        <f>G99+H98</f>
        <v>1409</v>
      </c>
      <c r="I99" s="473">
        <f>H99+I98</f>
        <v>1409</v>
      </c>
      <c r="J99" s="479">
        <f>SUM($F98:J98)</f>
        <v>2103</v>
      </c>
      <c r="K99" s="473">
        <f>SUM($F98:$K98)</f>
        <v>2931</v>
      </c>
      <c r="L99" s="473">
        <f>K99+L98</f>
        <v>3449</v>
      </c>
      <c r="M99" s="473">
        <f>L99+M98</f>
        <v>3449</v>
      </c>
      <c r="N99" s="473">
        <f>SUM($F98:$N98)</f>
        <v>4092</v>
      </c>
      <c r="O99" s="473">
        <f>SUM($F98:$O98)</f>
        <v>4669</v>
      </c>
      <c r="P99" s="448"/>
      <c r="Q99" s="456"/>
      <c r="R99" s="372"/>
      <c r="S99" s="404">
        <f>B96</f>
        <v>40</v>
      </c>
      <c r="T99" s="287" t="e">
        <f>$A96</f>
        <v>#N/A</v>
      </c>
      <c r="U99" s="287">
        <v>4</v>
      </c>
      <c r="V99" s="287" t="s">
        <v>162</v>
      </c>
      <c r="W99" s="372">
        <f t="shared" ref="W99:AF99" si="16">F99</f>
        <v>746</v>
      </c>
      <c r="X99" s="372">
        <f t="shared" si="16"/>
        <v>746</v>
      </c>
      <c r="Y99" s="372">
        <f t="shared" si="16"/>
        <v>1409</v>
      </c>
      <c r="Z99" s="372">
        <f t="shared" si="16"/>
        <v>1409</v>
      </c>
      <c r="AA99" s="372">
        <f t="shared" si="16"/>
        <v>2103</v>
      </c>
      <c r="AB99" s="372">
        <f t="shared" si="16"/>
        <v>2931</v>
      </c>
      <c r="AC99" s="372">
        <f t="shared" si="16"/>
        <v>3449</v>
      </c>
      <c r="AD99" s="372">
        <f t="shared" si="16"/>
        <v>3449</v>
      </c>
      <c r="AE99" s="372">
        <f t="shared" si="16"/>
        <v>4092</v>
      </c>
      <c r="AF99" s="372">
        <f t="shared" si="16"/>
        <v>4669</v>
      </c>
      <c r="AH99" s="231"/>
      <c r="AI99" s="231"/>
      <c r="AJ99" s="404">
        <v>455</v>
      </c>
      <c r="AK99" s="231"/>
    </row>
    <row r="100" spans="1:37" s="280" customFormat="1" ht="13.2" hidden="1" customHeight="1" thickBot="1" x14ac:dyDescent="0.3">
      <c r="A100" s="460"/>
      <c r="B100" s="461"/>
      <c r="C100" s="462">
        <f>VLOOKUP(B96,Уч!$A$2:$L$34,12,FALSE)</f>
        <v>0</v>
      </c>
      <c r="D100" s="467"/>
      <c r="E100" s="510" t="s">
        <v>59</v>
      </c>
      <c r="F100" s="464" t="e">
        <f>RANK(F99,$W$19:$W$150,0)</f>
        <v>#N/A</v>
      </c>
      <c r="G100" s="481" t="e">
        <f>RANK(G99,$X$19:$X$150,0)</f>
        <v>#N/A</v>
      </c>
      <c r="H100" s="481" t="e">
        <f>RANK(H99,$Y$19:$Y$150,0)</f>
        <v>#N/A</v>
      </c>
      <c r="I100" s="481" t="e">
        <f>RANK(I99,$Z$19:$Z$150,0)</f>
        <v>#N/A</v>
      </c>
      <c r="J100" s="482" t="e">
        <f>RANK(J99,$AA$19:$AA$150,0)</f>
        <v>#N/A</v>
      </c>
      <c r="K100" s="481" t="e">
        <f>RANK(K99,$AB$19:$AB$150,0)</f>
        <v>#N/A</v>
      </c>
      <c r="L100" s="481" t="e">
        <f>RANK(L99,$AC$19:$AC$150,0)</f>
        <v>#N/A</v>
      </c>
      <c r="M100" s="481" t="e">
        <f>RANK(M99,$AD$19:$AD$150,0)</f>
        <v>#N/A</v>
      </c>
      <c r="N100" s="481" t="e">
        <f>RANK(N99,$AE$19:$AE$150,0)</f>
        <v>#N/A</v>
      </c>
      <c r="O100" s="481" t="e">
        <f>RANK(O99,$AF$19:$AF$150,0)</f>
        <v>#N/A</v>
      </c>
      <c r="P100" s="466"/>
      <c r="Q100" s="442"/>
      <c r="R100" s="442"/>
      <c r="S100" s="205">
        <f>B96</f>
        <v>40</v>
      </c>
      <c r="T100" s="287" t="e">
        <f>$A96</f>
        <v>#N/A</v>
      </c>
      <c r="U100" s="287">
        <v>5</v>
      </c>
      <c r="V100" s="287" t="s">
        <v>162</v>
      </c>
      <c r="W100" s="449"/>
      <c r="X100" s="307"/>
      <c r="Y100" s="307"/>
      <c r="Z100" s="307"/>
      <c r="AA100" s="307"/>
      <c r="AB100" s="307"/>
      <c r="AC100" s="307"/>
      <c r="AD100" s="450"/>
      <c r="AE100" s="450"/>
      <c r="AF100" s="450"/>
      <c r="AH100" s="231"/>
      <c r="AI100" s="231"/>
      <c r="AJ100" s="404">
        <v>455</v>
      </c>
      <c r="AK100" s="231"/>
    </row>
    <row r="101" spans="1:37" s="280" customFormat="1" ht="13.2" hidden="1" customHeight="1" thickTop="1" x14ac:dyDescent="0.35">
      <c r="A101" s="231" t="e">
        <f>RANK(P101,$P$16:$P$150,0)</f>
        <v>#N/A</v>
      </c>
      <c r="B101" s="404">
        <v>62</v>
      </c>
      <c r="C101" s="443" t="e">
        <f>VLOOKUP(B101,Уч!$A$2:$L$34,2,FALSE)</f>
        <v>#N/A</v>
      </c>
      <c r="D101" s="444" t="e">
        <f>VLOOKUP(B101,Уч!$A$2:$L$34,3,FALSE)</f>
        <v>#N/A</v>
      </c>
      <c r="E101" s="509" t="s">
        <v>19</v>
      </c>
      <c r="F101" s="445" t="e">
        <f>VLOOKUP($B101,'100 м 1'!$C$18:$I$87,5,FALSE)</f>
        <v>#N/A</v>
      </c>
      <c r="G101" s="446" t="e">
        <f>VLOOKUP($B101,'длина 2 '!$C$16:$O$54,11,FALSE)</f>
        <v>#N/A</v>
      </c>
      <c r="H101" s="446" t="e">
        <f>VLOOKUP($B101,'ядро 2'!$C$16:$K$60,8,FALSE)</f>
        <v>#N/A</v>
      </c>
      <c r="I101" s="446">
        <f>VLOOKUP($B101,'высота 2'!$C$16:$AF$57,29,FALSE)</f>
        <v>1.88</v>
      </c>
      <c r="J101" s="447" t="e">
        <f>VLOOKUP($B101,'4_р'!$C$17:$H$73,5,FALSE)</f>
        <v>#N/A</v>
      </c>
      <c r="K101" s="446" t="e">
        <f>VLOOKUP($B101,'1cб_р'!$C$17:$I$67,5,FALSE)</f>
        <v>#N/A</v>
      </c>
      <c r="L101" s="446">
        <f>VLOOKUP($B101,Дс_р!$C$16:$K$70,8,FALSE)</f>
        <v>0</v>
      </c>
      <c r="M101" s="446">
        <f>VLOOKUP($B101,Ш_р!$C$15:$AF$69,29,FALSE)</f>
        <v>0</v>
      </c>
      <c r="N101" s="446">
        <f>VLOOKUP($B101,К_р!$C$15:$K$68,8,FALSE)</f>
        <v>0</v>
      </c>
      <c r="O101" s="404" t="e">
        <f>VLOOKUP($B101,'15_р'!$C$17:$H$86,5,FALSE)</f>
        <v>#N/A</v>
      </c>
      <c r="P101" s="491" t="e">
        <f>SUM(F103:O103)</f>
        <v>#N/A</v>
      </c>
      <c r="Q101" s="231" t="e">
        <f>LOOKUP(P101,Y$1:AH$1,Y$2:AH$2)</f>
        <v>#N/A</v>
      </c>
      <c r="R101" s="404" t="e">
        <f>AH101+AI101+5</f>
        <v>#N/A</v>
      </c>
      <c r="S101" s="404">
        <f>B101</f>
        <v>62</v>
      </c>
      <c r="T101" s="287" t="e">
        <f>$A101</f>
        <v>#N/A</v>
      </c>
      <c r="U101" s="287">
        <v>1</v>
      </c>
      <c r="V101" s="287" t="e">
        <f>$A101</f>
        <v>#N/A</v>
      </c>
      <c r="W101" s="449"/>
      <c r="X101" s="307"/>
      <c r="Y101" s="307"/>
      <c r="Z101" s="307"/>
      <c r="AA101" s="307"/>
      <c r="AB101" s="307"/>
      <c r="AC101" s="307"/>
      <c r="AD101" s="450"/>
      <c r="AE101" s="450"/>
      <c r="AF101" s="450"/>
      <c r="AH101" s="280" t="e">
        <f>IF(AND(T101&gt;16,P101&gt;=6200),"1",LOOKUP(T101,Y$5:AO$5,Y$6:AO$6))</f>
        <v>#N/A</v>
      </c>
      <c r="AI101" s="280" t="e">
        <f>LOOKUP(Q101,Y$8:AD$8,Y$9:AD$9)</f>
        <v>#N/A</v>
      </c>
      <c r="AJ101" s="404">
        <v>459</v>
      </c>
      <c r="AK101" s="231"/>
    </row>
    <row r="102" spans="1:37" s="280" customFormat="1" ht="13.2" hidden="1" customHeight="1" x14ac:dyDescent="0.35">
      <c r="A102" s="231"/>
      <c r="B102" s="404"/>
      <c r="C102" s="451" t="e">
        <f>VLOOKUP(B101,Уч!$A$2:$L$34,5,FALSE)</f>
        <v>#N/A</v>
      </c>
      <c r="D102" s="452" t="e">
        <f>VLOOKUP(B101,Уч!$A$2:$L$34,4,FALSE)</f>
        <v>#N/A</v>
      </c>
      <c r="E102" s="509" t="s">
        <v>25</v>
      </c>
      <c r="F102" s="453" t="e">
        <f>VLOOKUP($B101,'100 м 1'!$C$18:$I$87,6,FALSE)</f>
        <v>#N/A</v>
      </c>
      <c r="G102" s="454" t="e">
        <f>VLOOKUP($B101,'длина 2 '!$C$16:$O$54,12,FALSE)</f>
        <v>#N/A</v>
      </c>
      <c r="H102" s="404"/>
      <c r="I102" s="454"/>
      <c r="J102" s="455"/>
      <c r="K102" s="454" t="e">
        <f>VLOOKUP($B101,'1cб_р'!$C$17:$I$67,6,FALSE)</f>
        <v>#N/A</v>
      </c>
      <c r="L102" s="454"/>
      <c r="M102" s="454"/>
      <c r="N102" s="404"/>
      <c r="O102" s="404"/>
      <c r="P102" s="448"/>
      <c r="Q102" s="456"/>
      <c r="R102" s="404" t="e">
        <f>CONCATENATE(AH101,"+",AI101,"+",5)</f>
        <v>#N/A</v>
      </c>
      <c r="S102" s="404">
        <f>B101</f>
        <v>62</v>
      </c>
      <c r="T102" s="287" t="e">
        <f>$A101</f>
        <v>#N/A</v>
      </c>
      <c r="U102" s="287">
        <v>2</v>
      </c>
      <c r="V102" s="287" t="e">
        <f>$A101</f>
        <v>#N/A</v>
      </c>
      <c r="W102" s="449"/>
      <c r="X102" s="307"/>
      <c r="Y102" s="307"/>
      <c r="Z102" s="307"/>
      <c r="AA102" s="307"/>
      <c r="AB102" s="307"/>
      <c r="AC102" s="307"/>
      <c r="AD102" s="450"/>
      <c r="AE102" s="450"/>
      <c r="AF102" s="450"/>
      <c r="AH102" s="231"/>
      <c r="AI102" s="231"/>
      <c r="AJ102" s="404">
        <v>459</v>
      </c>
      <c r="AK102" s="231"/>
    </row>
    <row r="103" spans="1:37" s="280" customFormat="1" ht="13.2" hidden="1" customHeight="1" x14ac:dyDescent="0.35">
      <c r="A103" s="231"/>
      <c r="B103" s="404"/>
      <c r="C103" s="457" t="e">
        <f>VLOOKUP(B101,Уч!$A$2:$L$34,7,FALSE)</f>
        <v>#N/A</v>
      </c>
      <c r="D103" s="452"/>
      <c r="E103" s="509" t="s">
        <v>29</v>
      </c>
      <c r="F103" s="458" t="e">
        <f>VLOOKUP($B101,'100 м 1'!$C$18:$I$87,7,FALSE)</f>
        <v>#N/A</v>
      </c>
      <c r="G103" s="404" t="e">
        <f>VLOOKUP($B101,'длина 2 '!$C$16:$O$54,13,FALSE)</f>
        <v>#N/A</v>
      </c>
      <c r="H103" s="404" t="e">
        <f>VLOOKUP($B101,'ядро 2'!$C$16:$K$60,9,FALSE)</f>
        <v>#N/A</v>
      </c>
      <c r="I103" s="404">
        <f>VLOOKUP($B101,'высота 2'!$C$16:$AF$57,30,)</f>
        <v>0</v>
      </c>
      <c r="J103" s="459" t="e">
        <f>VLOOKUP($B101,'4_р'!$C$17:$H$73,6,FALSE)</f>
        <v>#N/A</v>
      </c>
      <c r="K103" s="404" t="e">
        <f>VLOOKUP($B101,'1cб_р'!$C$17:$I$67,7,FALSE)</f>
        <v>#N/A</v>
      </c>
      <c r="L103" s="404">
        <f>VLOOKUP($B101,Дс_р!$C$16:$K$70,9,FALSE)</f>
        <v>0</v>
      </c>
      <c r="M103" s="404">
        <f>VLOOKUP($B101,Ш_р!$C$15:$AF$69,30,FALSE)</f>
        <v>0</v>
      </c>
      <c r="N103" s="404">
        <f>VLOOKUP($B101,К_р!$C$15:$K$68,9,FALSE)</f>
        <v>0</v>
      </c>
      <c r="O103" s="404" t="e">
        <f>VLOOKUP($B101,'15_р'!$C$17:$H$86,6,FALSE)</f>
        <v>#N/A</v>
      </c>
      <c r="P103" s="448"/>
      <c r="Q103" s="468"/>
      <c r="R103" s="372"/>
      <c r="S103" s="404">
        <f>B101</f>
        <v>62</v>
      </c>
      <c r="T103" s="287" t="e">
        <f>$A101</f>
        <v>#N/A</v>
      </c>
      <c r="U103" s="287">
        <v>3</v>
      </c>
      <c r="V103" s="287" t="e">
        <f>$A101</f>
        <v>#N/A</v>
      </c>
      <c r="W103" s="449"/>
      <c r="X103" s="307"/>
      <c r="Y103" s="307"/>
      <c r="Z103" s="307"/>
      <c r="AA103" s="307"/>
      <c r="AB103" s="307"/>
      <c r="AC103" s="307"/>
      <c r="AD103" s="450"/>
      <c r="AE103" s="450"/>
      <c r="AF103" s="450"/>
      <c r="AH103" s="231"/>
      <c r="AI103" s="231"/>
      <c r="AJ103" s="404">
        <v>459</v>
      </c>
      <c r="AK103" s="231"/>
    </row>
    <row r="104" spans="1:37" s="280" customFormat="1" ht="13.2" hidden="1" customHeight="1" x14ac:dyDescent="0.35">
      <c r="A104" s="231"/>
      <c r="B104" s="404"/>
      <c r="C104" s="451" t="e">
        <f>VLOOKUP(B101,Уч!$A$2:$L$34,11,FALSE)</f>
        <v>#N/A</v>
      </c>
      <c r="D104" s="452"/>
      <c r="E104" s="509" t="s">
        <v>276</v>
      </c>
      <c r="F104" s="458" t="e">
        <f>F103</f>
        <v>#N/A</v>
      </c>
      <c r="G104" s="404" t="e">
        <f>F104+G103</f>
        <v>#N/A</v>
      </c>
      <c r="H104" s="404" t="e">
        <f>G104+H103</f>
        <v>#N/A</v>
      </c>
      <c r="I104" s="404" t="e">
        <f>H104+I103</f>
        <v>#N/A</v>
      </c>
      <c r="J104" s="459" t="e">
        <f>SUM($F103:J103)</f>
        <v>#N/A</v>
      </c>
      <c r="K104" s="404" t="e">
        <f>SUM($F103:$K103)</f>
        <v>#N/A</v>
      </c>
      <c r="L104" s="404" t="e">
        <f>K104+L103</f>
        <v>#N/A</v>
      </c>
      <c r="M104" s="404" t="e">
        <f>L104+M103</f>
        <v>#N/A</v>
      </c>
      <c r="N104" s="404" t="e">
        <f>SUM($F103:$N103)</f>
        <v>#N/A</v>
      </c>
      <c r="O104" s="404" t="e">
        <f>SUM($F103:$O103)</f>
        <v>#N/A</v>
      </c>
      <c r="P104" s="448"/>
      <c r="Q104" s="456"/>
      <c r="R104" s="372"/>
      <c r="S104" s="404">
        <f>B101</f>
        <v>62</v>
      </c>
      <c r="T104" s="287" t="e">
        <f>$A101</f>
        <v>#N/A</v>
      </c>
      <c r="U104" s="287">
        <v>4</v>
      </c>
      <c r="V104" s="287" t="e">
        <f>$A101</f>
        <v>#N/A</v>
      </c>
      <c r="W104" s="372" t="e">
        <f t="shared" ref="W104:AF104" si="17">F104</f>
        <v>#N/A</v>
      </c>
      <c r="X104" s="372" t="e">
        <f t="shared" si="17"/>
        <v>#N/A</v>
      </c>
      <c r="Y104" s="372" t="e">
        <f t="shared" si="17"/>
        <v>#N/A</v>
      </c>
      <c r="Z104" s="372" t="e">
        <f t="shared" si="17"/>
        <v>#N/A</v>
      </c>
      <c r="AA104" s="372" t="e">
        <f t="shared" si="17"/>
        <v>#N/A</v>
      </c>
      <c r="AB104" s="372" t="e">
        <f t="shared" si="17"/>
        <v>#N/A</v>
      </c>
      <c r="AC104" s="372" t="e">
        <f t="shared" si="17"/>
        <v>#N/A</v>
      </c>
      <c r="AD104" s="372" t="e">
        <f t="shared" si="17"/>
        <v>#N/A</v>
      </c>
      <c r="AE104" s="372" t="e">
        <f t="shared" si="17"/>
        <v>#N/A</v>
      </c>
      <c r="AF104" s="372" t="e">
        <f t="shared" si="17"/>
        <v>#N/A</v>
      </c>
      <c r="AH104" s="231"/>
      <c r="AI104" s="231"/>
      <c r="AJ104" s="404">
        <v>459</v>
      </c>
      <c r="AK104" s="231"/>
    </row>
    <row r="105" spans="1:37" s="280" customFormat="1" ht="13.2" hidden="1" customHeight="1" thickBot="1" x14ac:dyDescent="0.3">
      <c r="A105" s="460"/>
      <c r="B105" s="461"/>
      <c r="C105" s="462" t="e">
        <f>VLOOKUP(B101,Уч!$A$2:$L$34,12,FALSE)</f>
        <v>#N/A</v>
      </c>
      <c r="D105" s="463"/>
      <c r="E105" s="510" t="s">
        <v>59</v>
      </c>
      <c r="F105" s="464" t="e">
        <f>RANK(F104,$W$19:$W$150,0)</f>
        <v>#N/A</v>
      </c>
      <c r="G105" s="461" t="e">
        <f>RANK(G104,$X$19:$X$150,0)</f>
        <v>#N/A</v>
      </c>
      <c r="H105" s="461" t="e">
        <f>RANK(H104,$Y$19:$Y$150,0)</f>
        <v>#N/A</v>
      </c>
      <c r="I105" s="461" t="e">
        <f>RANK(I104,$Z$19:$Z$150,0)</f>
        <v>#N/A</v>
      </c>
      <c r="J105" s="465" t="e">
        <f>RANK(J104,$AA$19:$AA$150,0)</f>
        <v>#N/A</v>
      </c>
      <c r="K105" s="461" t="e">
        <f>RANK(K104,$AB$19:$AB$150,0)</f>
        <v>#N/A</v>
      </c>
      <c r="L105" s="461" t="e">
        <f>RANK(L104,$AC$19:$AC$150,0)</f>
        <v>#N/A</v>
      </c>
      <c r="M105" s="461" t="e">
        <f>RANK(M104,$AD$19:$AD$150,0)</f>
        <v>#N/A</v>
      </c>
      <c r="N105" s="461" t="e">
        <f>RANK(N104,$AE$19:$AE$150,0)</f>
        <v>#N/A</v>
      </c>
      <c r="O105" s="461" t="e">
        <f>RANK(O104,$AF$19:$AF$150,0)</f>
        <v>#N/A</v>
      </c>
      <c r="P105" s="466"/>
      <c r="Q105" s="442"/>
      <c r="R105" s="442"/>
      <c r="S105" s="205">
        <f>B101</f>
        <v>62</v>
      </c>
      <c r="T105" s="287" t="e">
        <f>$A101</f>
        <v>#N/A</v>
      </c>
      <c r="U105" s="287">
        <v>5</v>
      </c>
      <c r="V105" s="287" t="e">
        <f>$A101</f>
        <v>#N/A</v>
      </c>
      <c r="W105" s="449"/>
      <c r="X105" s="307"/>
      <c r="Y105" s="307"/>
      <c r="Z105" s="307"/>
      <c r="AA105" s="307"/>
      <c r="AB105" s="307"/>
      <c r="AC105" s="307"/>
      <c r="AD105" s="450"/>
      <c r="AE105" s="450"/>
      <c r="AF105" s="450"/>
      <c r="AH105" s="231"/>
      <c r="AI105" s="231"/>
      <c r="AJ105" s="404">
        <v>459</v>
      </c>
      <c r="AK105" s="231"/>
    </row>
    <row r="106" spans="1:37" s="280" customFormat="1" ht="13.2" hidden="1" customHeight="1" thickTop="1" x14ac:dyDescent="0.35">
      <c r="A106" s="231" t="e">
        <f>RANK(P106,$P$16:$P$150,0)</f>
        <v>#N/A</v>
      </c>
      <c r="B106" s="404">
        <v>13</v>
      </c>
      <c r="C106" s="443" t="e">
        <f>VLOOKUP(B106,Уч!$A$2:$L$34,2,FALSE)</f>
        <v>#N/A</v>
      </c>
      <c r="D106" s="444" t="e">
        <f>VLOOKUP(B106,Уч!$A$2:$L$34,3,FALSE)</f>
        <v>#N/A</v>
      </c>
      <c r="E106" s="509" t="s">
        <v>19</v>
      </c>
      <c r="F106" s="445">
        <f>VLOOKUP($B106,'100 м 1'!$C$18:$I$87,5,FALSE)</f>
        <v>11.41</v>
      </c>
      <c r="G106" s="446" t="e">
        <f>VLOOKUP($B106,'длина 2 '!$C$16:$O$54,11,FALSE)</f>
        <v>#N/A</v>
      </c>
      <c r="H106" s="446" t="e">
        <f>VLOOKUP($B106,'ядро 2'!$C$16:$K$60,8,FALSE)</f>
        <v>#N/A</v>
      </c>
      <c r="I106" s="446" t="e">
        <f>VLOOKUP($B106,'высота 2'!$C$16:$AF$57,29,FALSE)</f>
        <v>#N/A</v>
      </c>
      <c r="J106" s="447">
        <f>VLOOKUP($B106,'4_р'!$C$17:$H$73,5,FALSE)</f>
        <v>0</v>
      </c>
      <c r="K106" s="446" t="e">
        <f>VLOOKUP($B106,'1cб_р'!$C$17:$I$67,5,FALSE)</f>
        <v>#N/A</v>
      </c>
      <c r="L106" s="446" t="e">
        <f>VLOOKUP($B106,Дс_р!$C$16:$K$70,8,FALSE)</f>
        <v>#N/A</v>
      </c>
      <c r="M106" s="446">
        <f>VLOOKUP($B106,Ш_р!$C$15:$AF$69,29,FALSE)</f>
        <v>5.0999999999999996</v>
      </c>
      <c r="N106" s="446" t="e">
        <f>VLOOKUP($B106,К_р!$C$15:$K$68,8,FALSE)</f>
        <v>#N/A</v>
      </c>
      <c r="O106" s="404" t="e">
        <f>VLOOKUP($B106,'15_р'!$C$17:$H$86,5,FALSE)</f>
        <v>#N/A</v>
      </c>
      <c r="P106" s="448" t="e">
        <f>SUM(F108:O108)</f>
        <v>#N/A</v>
      </c>
      <c r="Q106" s="231" t="e">
        <f>LOOKUP(P106,Y$1:AH$1,Y$2:AH$2)</f>
        <v>#N/A</v>
      </c>
      <c r="R106" s="404" t="e">
        <f>AH106+AI106+5</f>
        <v>#N/A</v>
      </c>
      <c r="S106" s="404">
        <f>B106</f>
        <v>13</v>
      </c>
      <c r="T106" s="287" t="e">
        <f>$A106</f>
        <v>#N/A</v>
      </c>
      <c r="U106" s="287">
        <v>1</v>
      </c>
      <c r="V106" s="287" t="e">
        <f>$A106</f>
        <v>#N/A</v>
      </c>
      <c r="W106" s="449"/>
      <c r="X106" s="307"/>
      <c r="Y106" s="307"/>
      <c r="Z106" s="307"/>
      <c r="AA106" s="307"/>
      <c r="AB106" s="307"/>
      <c r="AC106" s="307"/>
      <c r="AD106" s="450"/>
      <c r="AE106" s="450"/>
      <c r="AF106" s="450"/>
      <c r="AH106" s="280" t="e">
        <f>IF(AND(T106&gt;16,P106&gt;=6200),"1",LOOKUP(T106,Y$5:AO$5,Y$6:AO$6))</f>
        <v>#N/A</v>
      </c>
      <c r="AI106" s="280" t="e">
        <f>LOOKUP(Q106,Y$8:AD$8,Y$9:AD$9)</f>
        <v>#N/A</v>
      </c>
      <c r="AJ106" s="404">
        <v>460</v>
      </c>
      <c r="AK106" s="231"/>
    </row>
    <row r="107" spans="1:37" s="280" customFormat="1" ht="13.2" hidden="1" customHeight="1" x14ac:dyDescent="0.35">
      <c r="A107" s="231"/>
      <c r="B107" s="404"/>
      <c r="C107" s="451" t="e">
        <f>VLOOKUP(B106,Уч!$A$2:$L$34,5,FALSE)</f>
        <v>#N/A</v>
      </c>
      <c r="D107" s="444" t="e">
        <f>VLOOKUP(B106,Уч!$A$2:$L$34,4,FALSE)</f>
        <v>#N/A</v>
      </c>
      <c r="E107" s="509" t="s">
        <v>25</v>
      </c>
      <c r="F107" s="453">
        <f>VLOOKUP($B106,'100 м 1'!$C$18:$I$87,6,FALSE)</f>
        <v>1</v>
      </c>
      <c r="G107" s="454" t="e">
        <f>VLOOKUP($B106,'длина 2 '!$C$16:$O$54,12,FALSE)</f>
        <v>#N/A</v>
      </c>
      <c r="H107" s="404"/>
      <c r="I107" s="454"/>
      <c r="J107" s="455"/>
      <c r="K107" s="454" t="e">
        <f>VLOOKUP($B106,'1cб_р'!$C$17:$I$67,6,FALSE)</f>
        <v>#N/A</v>
      </c>
      <c r="L107" s="454"/>
      <c r="M107" s="454"/>
      <c r="N107" s="404"/>
      <c r="O107" s="404"/>
      <c r="P107" s="448"/>
      <c r="Q107" s="456"/>
      <c r="R107" s="404" t="e">
        <f>CONCATENATE(AH106,"+",AI106,"+",5)</f>
        <v>#N/A</v>
      </c>
      <c r="S107" s="404">
        <f>B106</f>
        <v>13</v>
      </c>
      <c r="T107" s="287" t="e">
        <f>$A106</f>
        <v>#N/A</v>
      </c>
      <c r="U107" s="287">
        <v>2</v>
      </c>
      <c r="V107" s="287" t="e">
        <f>$A106</f>
        <v>#N/A</v>
      </c>
      <c r="W107" s="449"/>
      <c r="X107" s="307"/>
      <c r="Y107" s="307"/>
      <c r="Z107" s="307"/>
      <c r="AA107" s="307"/>
      <c r="AB107" s="307"/>
      <c r="AC107" s="307"/>
      <c r="AD107" s="450"/>
      <c r="AE107" s="450"/>
      <c r="AF107" s="450"/>
      <c r="AH107" s="231"/>
      <c r="AI107" s="231"/>
      <c r="AJ107" s="404">
        <v>460</v>
      </c>
      <c r="AK107" s="231"/>
    </row>
    <row r="108" spans="1:37" s="280" customFormat="1" ht="13.2" hidden="1" customHeight="1" x14ac:dyDescent="0.35">
      <c r="A108" s="231"/>
      <c r="B108" s="404"/>
      <c r="C108" s="457" t="e">
        <f>VLOOKUP(B106,Уч!$A$2:$L$34,7,FALSE)</f>
        <v>#N/A</v>
      </c>
      <c r="D108" s="444"/>
      <c r="E108" s="509" t="s">
        <v>29</v>
      </c>
      <c r="F108" s="458">
        <f>VLOOKUP($B106,'100 м 1'!$C$18:$I$87,7,FALSE)</f>
        <v>771</v>
      </c>
      <c r="G108" s="404" t="e">
        <f>VLOOKUP($B106,'длина 2 '!$C$16:$O$54,13,FALSE)</f>
        <v>#N/A</v>
      </c>
      <c r="H108" s="404" t="e">
        <f>VLOOKUP($B106,'ядро 2'!$C$16:$K$60,9,FALSE)</f>
        <v>#N/A</v>
      </c>
      <c r="I108" s="404" t="e">
        <f>VLOOKUP($B106,'высота 2'!$C$16:$AF$57,30,)</f>
        <v>#N/A</v>
      </c>
      <c r="J108" s="459">
        <f>VLOOKUP($B106,'4_р'!$C$17:$H$73,6,FALSE)</f>
        <v>0</v>
      </c>
      <c r="K108" s="404" t="e">
        <f>VLOOKUP($B106,'1cб_р'!$C$17:$I$67,7,FALSE)</f>
        <v>#N/A</v>
      </c>
      <c r="L108" s="404" t="e">
        <f>VLOOKUP($B106,Дс_р!$C$16:$K$70,9,FALSE)</f>
        <v>#N/A</v>
      </c>
      <c r="M108" s="404">
        <f>VLOOKUP($B106,Ш_р!$C$15:$AF$69,30,FALSE)</f>
        <v>941</v>
      </c>
      <c r="N108" s="404" t="e">
        <f>VLOOKUP($B106,К_р!$C$15:$K$68,9,FALSE)</f>
        <v>#N/A</v>
      </c>
      <c r="O108" s="404" t="e">
        <f>VLOOKUP($B106,'15_р'!$C$17:$H$86,6,FALSE)</f>
        <v>#N/A</v>
      </c>
      <c r="P108" s="448"/>
      <c r="Q108" s="468"/>
      <c r="R108" s="372"/>
      <c r="S108" s="404">
        <f>B106</f>
        <v>13</v>
      </c>
      <c r="T108" s="287" t="e">
        <f>$A106</f>
        <v>#N/A</v>
      </c>
      <c r="U108" s="287">
        <v>3</v>
      </c>
      <c r="V108" s="287" t="e">
        <f>$A106</f>
        <v>#N/A</v>
      </c>
      <c r="W108" s="449"/>
      <c r="X108" s="307"/>
      <c r="Y108" s="307"/>
      <c r="Z108" s="307"/>
      <c r="AA108" s="307"/>
      <c r="AB108" s="307"/>
      <c r="AC108" s="307"/>
      <c r="AD108" s="450"/>
      <c r="AE108" s="450"/>
      <c r="AF108" s="450"/>
      <c r="AH108" s="231"/>
      <c r="AI108" s="231"/>
      <c r="AJ108" s="404">
        <v>460</v>
      </c>
      <c r="AK108" s="231"/>
    </row>
    <row r="109" spans="1:37" s="280" customFormat="1" ht="13.2" hidden="1" customHeight="1" x14ac:dyDescent="0.35">
      <c r="A109" s="231"/>
      <c r="B109" s="404"/>
      <c r="C109" s="451" t="e">
        <f>VLOOKUP(B106,Уч!$A$2:$L$34,11,FALSE)</f>
        <v>#N/A</v>
      </c>
      <c r="D109" s="444"/>
      <c r="E109" s="509" t="s">
        <v>276</v>
      </c>
      <c r="F109" s="458">
        <f>F108</f>
        <v>771</v>
      </c>
      <c r="G109" s="404" t="e">
        <f>F109+G108</f>
        <v>#N/A</v>
      </c>
      <c r="H109" s="404" t="e">
        <f>G109+H108</f>
        <v>#N/A</v>
      </c>
      <c r="I109" s="404" t="e">
        <f>H109+I108</f>
        <v>#N/A</v>
      </c>
      <c r="J109" s="459" t="e">
        <f>SUM($F108:J108)</f>
        <v>#N/A</v>
      </c>
      <c r="K109" s="404" t="e">
        <f>SUM($F108:$K108)</f>
        <v>#N/A</v>
      </c>
      <c r="L109" s="404" t="e">
        <f>K109+L108</f>
        <v>#N/A</v>
      </c>
      <c r="M109" s="404" t="e">
        <f>L109+M108</f>
        <v>#N/A</v>
      </c>
      <c r="N109" s="404" t="e">
        <f>SUM($F108:$N108)</f>
        <v>#N/A</v>
      </c>
      <c r="O109" s="404" t="e">
        <f>SUM($F108:$O108)</f>
        <v>#N/A</v>
      </c>
      <c r="P109" s="448"/>
      <c r="Q109" s="456"/>
      <c r="R109" s="372"/>
      <c r="S109" s="404">
        <f>B106</f>
        <v>13</v>
      </c>
      <c r="T109" s="287" t="e">
        <f>$A106</f>
        <v>#N/A</v>
      </c>
      <c r="U109" s="287">
        <v>4</v>
      </c>
      <c r="V109" s="287" t="e">
        <f>$A106</f>
        <v>#N/A</v>
      </c>
      <c r="W109" s="372">
        <f t="shared" ref="W109:AF109" si="18">F109</f>
        <v>771</v>
      </c>
      <c r="X109" s="372" t="e">
        <f t="shared" si="18"/>
        <v>#N/A</v>
      </c>
      <c r="Y109" s="372" t="e">
        <f t="shared" si="18"/>
        <v>#N/A</v>
      </c>
      <c r="Z109" s="372" t="e">
        <f t="shared" si="18"/>
        <v>#N/A</v>
      </c>
      <c r="AA109" s="372" t="e">
        <f t="shared" si="18"/>
        <v>#N/A</v>
      </c>
      <c r="AB109" s="372" t="e">
        <f t="shared" si="18"/>
        <v>#N/A</v>
      </c>
      <c r="AC109" s="372" t="e">
        <f t="shared" si="18"/>
        <v>#N/A</v>
      </c>
      <c r="AD109" s="372" t="e">
        <f t="shared" si="18"/>
        <v>#N/A</v>
      </c>
      <c r="AE109" s="372" t="e">
        <f t="shared" si="18"/>
        <v>#N/A</v>
      </c>
      <c r="AF109" s="372" t="e">
        <f t="shared" si="18"/>
        <v>#N/A</v>
      </c>
      <c r="AH109" s="231"/>
      <c r="AI109" s="231"/>
      <c r="AJ109" s="404">
        <v>460</v>
      </c>
      <c r="AK109" s="231"/>
    </row>
    <row r="110" spans="1:37" s="280" customFormat="1" ht="13.2" hidden="1" customHeight="1" thickBot="1" x14ac:dyDescent="0.3">
      <c r="A110" s="460"/>
      <c r="B110" s="461"/>
      <c r="C110" s="462" t="e">
        <f>VLOOKUP(B106,Уч!$A$2:$L$34,12,FALSE)</f>
        <v>#N/A</v>
      </c>
      <c r="D110" s="467"/>
      <c r="E110" s="510" t="s">
        <v>59</v>
      </c>
      <c r="F110" s="464" t="e">
        <f>RANK(F109,$W$19:$W$150,0)</f>
        <v>#N/A</v>
      </c>
      <c r="G110" s="461" t="e">
        <f>RANK(G109,$X$19:$X$150,0)</f>
        <v>#N/A</v>
      </c>
      <c r="H110" s="461" t="e">
        <f>RANK(H109,$Y$19:$Y$150,0)</f>
        <v>#N/A</v>
      </c>
      <c r="I110" s="461" t="e">
        <f>RANK(I109,$Z$19:$Z$150,0)</f>
        <v>#N/A</v>
      </c>
      <c r="J110" s="465" t="e">
        <f>RANK(J109,$AA$19:$AA$150,0)</f>
        <v>#N/A</v>
      </c>
      <c r="K110" s="461" t="e">
        <f>RANK(K109,$AB$19:$AB$150,0)</f>
        <v>#N/A</v>
      </c>
      <c r="L110" s="461" t="e">
        <f>RANK(L109,$AC$19:$AC$150,0)</f>
        <v>#N/A</v>
      </c>
      <c r="M110" s="461" t="e">
        <f>RANK(M109,$AD$19:$AD$150,0)</f>
        <v>#N/A</v>
      </c>
      <c r="N110" s="461" t="e">
        <f>RANK(N109,$AE$19:$AE$150,0)</f>
        <v>#N/A</v>
      </c>
      <c r="O110" s="461" t="e">
        <f>RANK(O109,$AF$19:$AF$150,0)</f>
        <v>#N/A</v>
      </c>
      <c r="P110" s="466"/>
      <c r="Q110" s="442"/>
      <c r="R110" s="442"/>
      <c r="S110" s="205">
        <f>B106</f>
        <v>13</v>
      </c>
      <c r="T110" s="287" t="e">
        <f>$A106</f>
        <v>#N/A</v>
      </c>
      <c r="U110" s="287">
        <v>5</v>
      </c>
      <c r="V110" s="287" t="e">
        <f>$A106</f>
        <v>#N/A</v>
      </c>
      <c r="W110" s="449"/>
      <c r="X110" s="307"/>
      <c r="Y110" s="307"/>
      <c r="Z110" s="307"/>
      <c r="AA110" s="307"/>
      <c r="AB110" s="307"/>
      <c r="AC110" s="307"/>
      <c r="AD110" s="450"/>
      <c r="AE110" s="450"/>
      <c r="AF110" s="450"/>
      <c r="AJ110" s="404">
        <v>460</v>
      </c>
      <c r="AK110" s="231"/>
    </row>
    <row r="111" spans="1:37" s="280" customFormat="1" ht="13.2" hidden="1" customHeight="1" thickTop="1" x14ac:dyDescent="0.35">
      <c r="A111" s="231" t="e">
        <f>RANK(P111,$P$16:$P$150,0)</f>
        <v>#N/A</v>
      </c>
      <c r="B111" s="404">
        <v>27</v>
      </c>
      <c r="C111" s="443" t="e">
        <f>VLOOKUP(B111,Уч!$A$2:$L$34,2,FALSE)</f>
        <v>#N/A</v>
      </c>
      <c r="D111" s="444" t="e">
        <f>VLOOKUP(B111,Уч!$A$2:$L$34,3,FALSE)</f>
        <v>#N/A</v>
      </c>
      <c r="E111" s="509" t="s">
        <v>19</v>
      </c>
      <c r="F111" s="445" t="e">
        <f>VLOOKUP($B111,'100 м 1'!$C$18:$I$87,5,FALSE)</f>
        <v>#N/A</v>
      </c>
      <c r="G111" s="446" t="e">
        <f>VLOOKUP($B111,'длина 2 '!$C$16:$O$54,11,FALSE)</f>
        <v>#N/A</v>
      </c>
      <c r="H111" s="446" t="e">
        <f>VLOOKUP($B111,'ядро 2'!$C$16:$K$60,8,FALSE)</f>
        <v>#N/A</v>
      </c>
      <c r="I111" s="446" t="e">
        <f>VLOOKUP($B111,'высота 2'!$C$16:$AF$57,29,FALSE)</f>
        <v>#N/A</v>
      </c>
      <c r="J111" s="447" t="e">
        <f>VLOOKUP($B111,'4_р'!$C$17:$H$73,5,FALSE)</f>
        <v>#N/A</v>
      </c>
      <c r="K111" s="446" t="e">
        <f>VLOOKUP($B111,'1cб_р'!$C$17:$I$67,5,FALSE)</f>
        <v>#N/A</v>
      </c>
      <c r="L111" s="446" t="e">
        <f>VLOOKUP($B111,Дс_р!$C$16:$K$70,8,FALSE)</f>
        <v>#N/A</v>
      </c>
      <c r="M111" s="446" t="e">
        <f>VLOOKUP($B111,Ш_р!$C$15:$AF$69,29,FALSE)</f>
        <v>#N/A</v>
      </c>
      <c r="N111" s="446" t="e">
        <f>VLOOKUP($B111,К_р!$C$15:$K$68,8,FALSE)</f>
        <v>#N/A</v>
      </c>
      <c r="O111" s="404" t="e">
        <f>VLOOKUP($B111,'15_р'!$C$17:$H$86,5,FALSE)</f>
        <v>#N/A</v>
      </c>
      <c r="P111" s="491" t="e">
        <f>SUM(F113:O113)</f>
        <v>#N/A</v>
      </c>
      <c r="Q111" s="231" t="e">
        <f>LOOKUP(P111,Y$1:AH$1,Y$2:AH$2)</f>
        <v>#N/A</v>
      </c>
      <c r="R111" s="404" t="e">
        <f>AH111+AI111+5</f>
        <v>#N/A</v>
      </c>
      <c r="S111" s="404">
        <f>B111</f>
        <v>27</v>
      </c>
      <c r="T111" s="287" t="e">
        <f>$A111</f>
        <v>#N/A</v>
      </c>
      <c r="U111" s="287">
        <v>1</v>
      </c>
      <c r="V111" s="287" t="s">
        <v>162</v>
      </c>
      <c r="W111" s="307"/>
      <c r="X111" s="307"/>
      <c r="Y111" s="307"/>
      <c r="Z111" s="307"/>
      <c r="AA111" s="307"/>
      <c r="AB111" s="307"/>
      <c r="AC111" s="307"/>
      <c r="AD111" s="450"/>
      <c r="AE111" s="450"/>
      <c r="AF111" s="450"/>
      <c r="AH111" s="280" t="e">
        <f>IF(AND(T111&gt;16,P111&gt;=6200),"1",LOOKUP(T111,Y$5:AO$5,Y$6:AO$6))</f>
        <v>#N/A</v>
      </c>
      <c r="AI111" s="280" t="e">
        <f>LOOKUP(Q111,Y$8:AD$8,Y$9:AD$9)</f>
        <v>#N/A</v>
      </c>
      <c r="AJ111" s="404">
        <v>462</v>
      </c>
      <c r="AK111" s="231"/>
    </row>
    <row r="112" spans="1:37" s="280" customFormat="1" ht="13.2" hidden="1" customHeight="1" x14ac:dyDescent="0.35">
      <c r="A112" s="231"/>
      <c r="B112" s="404"/>
      <c r="C112" s="451" t="e">
        <f>VLOOKUP(B111,Уч!$A$2:$L$34,5,FALSE)</f>
        <v>#N/A</v>
      </c>
      <c r="D112" s="444" t="e">
        <f>VLOOKUP(B111,Уч!$A$2:$L$34,4,FALSE)</f>
        <v>#N/A</v>
      </c>
      <c r="E112" s="509" t="s">
        <v>25</v>
      </c>
      <c r="F112" s="453" t="e">
        <f>VLOOKUP($B111,'100 м 1'!$C$18:$I$87,6,FALSE)</f>
        <v>#N/A</v>
      </c>
      <c r="G112" s="454" t="e">
        <f>VLOOKUP($B111,'длина 2 '!$C$16:$O$54,12,FALSE)</f>
        <v>#N/A</v>
      </c>
      <c r="H112" s="404"/>
      <c r="I112" s="454"/>
      <c r="J112" s="455"/>
      <c r="K112" s="454" t="e">
        <f>VLOOKUP($B111,'1cб_р'!$C$17:$I$67,6,FALSE)</f>
        <v>#N/A</v>
      </c>
      <c r="L112" s="454"/>
      <c r="M112" s="454"/>
      <c r="N112" s="404"/>
      <c r="O112" s="404"/>
      <c r="P112" s="448"/>
      <c r="Q112" s="456"/>
      <c r="R112" s="404" t="e">
        <f>CONCATENATE(AH111,"+",AI111,"+",5)</f>
        <v>#N/A</v>
      </c>
      <c r="S112" s="404">
        <f>B111</f>
        <v>27</v>
      </c>
      <c r="T112" s="287" t="e">
        <f>$A111</f>
        <v>#N/A</v>
      </c>
      <c r="U112" s="287">
        <v>2</v>
      </c>
      <c r="V112" s="287" t="s">
        <v>162</v>
      </c>
      <c r="W112" s="307"/>
      <c r="X112" s="307"/>
      <c r="Y112" s="307"/>
      <c r="Z112" s="307"/>
      <c r="AA112" s="307"/>
      <c r="AB112" s="307"/>
      <c r="AC112" s="307"/>
      <c r="AD112" s="450"/>
      <c r="AE112" s="450"/>
      <c r="AF112" s="450"/>
      <c r="AH112" s="231"/>
      <c r="AI112" s="231"/>
      <c r="AJ112" s="404">
        <v>462</v>
      </c>
      <c r="AK112" s="231"/>
    </row>
    <row r="113" spans="1:37" s="280" customFormat="1" ht="13.2" hidden="1" customHeight="1" x14ac:dyDescent="0.35">
      <c r="A113" s="231"/>
      <c r="B113" s="404"/>
      <c r="C113" s="457" t="e">
        <f>VLOOKUP(B111,Уч!$A$2:$L$34,7,FALSE)</f>
        <v>#N/A</v>
      </c>
      <c r="D113" s="452"/>
      <c r="E113" s="509" t="s">
        <v>29</v>
      </c>
      <c r="F113" s="458" t="e">
        <f>VLOOKUP($B111,'100 м 1'!$C$18:$I$87,7,FALSE)</f>
        <v>#N/A</v>
      </c>
      <c r="G113" s="404" t="e">
        <f>VLOOKUP($B111,'длина 2 '!$C$16:$O$54,13,FALSE)</f>
        <v>#N/A</v>
      </c>
      <c r="H113" s="404" t="e">
        <f>VLOOKUP($B111,'ядро 2'!$C$16:$K$60,9,FALSE)</f>
        <v>#N/A</v>
      </c>
      <c r="I113" s="404" t="e">
        <f>VLOOKUP($B111,'высота 2'!$C$16:$AF$57,30,)</f>
        <v>#N/A</v>
      </c>
      <c r="J113" s="459" t="e">
        <f>VLOOKUP($B111,'4_р'!$C$17:$H$73,6,FALSE)</f>
        <v>#N/A</v>
      </c>
      <c r="K113" s="404" t="e">
        <f>VLOOKUP($B111,'1cб_р'!$C$17:$I$67,7,FALSE)</f>
        <v>#N/A</v>
      </c>
      <c r="L113" s="404" t="e">
        <f>VLOOKUP($B111,Дс_р!$C$16:$K$70,9,FALSE)</f>
        <v>#N/A</v>
      </c>
      <c r="M113" s="404" t="e">
        <f>VLOOKUP($B111,Ш_р!$C$15:$AF$69,30,FALSE)</f>
        <v>#N/A</v>
      </c>
      <c r="N113" s="404" t="e">
        <f>VLOOKUP($B111,К_р!$C$15:$K$68,9,FALSE)</f>
        <v>#N/A</v>
      </c>
      <c r="O113" s="404" t="e">
        <f>VLOOKUP($B111,'15_р'!$C$17:$H$86,6,FALSE)</f>
        <v>#N/A</v>
      </c>
      <c r="P113" s="448"/>
      <c r="Q113" s="372"/>
      <c r="R113" s="372"/>
      <c r="S113" s="404">
        <f>B111</f>
        <v>27</v>
      </c>
      <c r="T113" s="287" t="e">
        <f>$A111</f>
        <v>#N/A</v>
      </c>
      <c r="U113" s="287">
        <v>3</v>
      </c>
      <c r="V113" s="287" t="s">
        <v>162</v>
      </c>
      <c r="W113" s="307"/>
      <c r="X113" s="307"/>
      <c r="Y113" s="307"/>
      <c r="Z113" s="307"/>
      <c r="AA113" s="307"/>
      <c r="AB113" s="307"/>
      <c r="AC113" s="307"/>
      <c r="AD113" s="450"/>
      <c r="AE113" s="450"/>
      <c r="AF113" s="450"/>
      <c r="AH113" s="231"/>
      <c r="AI113" s="231"/>
      <c r="AJ113" s="404">
        <v>462</v>
      </c>
      <c r="AK113" s="231"/>
    </row>
    <row r="114" spans="1:37" s="280" customFormat="1" ht="13.2" hidden="1" customHeight="1" x14ac:dyDescent="0.35">
      <c r="A114" s="231"/>
      <c r="B114" s="404"/>
      <c r="C114" s="451" t="e">
        <f>VLOOKUP(B111,Уч!$A$2:$L$34,11,FALSE)</f>
        <v>#N/A</v>
      </c>
      <c r="D114" s="452"/>
      <c r="E114" s="509" t="s">
        <v>276</v>
      </c>
      <c r="F114" s="458" t="e">
        <f>F113</f>
        <v>#N/A</v>
      </c>
      <c r="G114" s="404" t="e">
        <f>F114+G113</f>
        <v>#N/A</v>
      </c>
      <c r="H114" s="404" t="e">
        <f>G114+H113</f>
        <v>#N/A</v>
      </c>
      <c r="I114" s="404" t="e">
        <f>H114+I113</f>
        <v>#N/A</v>
      </c>
      <c r="J114" s="459" t="e">
        <f>SUM($F113:J113)</f>
        <v>#N/A</v>
      </c>
      <c r="K114" s="404" t="e">
        <f>SUM($F113:$K113)</f>
        <v>#N/A</v>
      </c>
      <c r="L114" s="404" t="e">
        <f>K114+L113</f>
        <v>#N/A</v>
      </c>
      <c r="M114" s="404" t="e">
        <f>L114+M113</f>
        <v>#N/A</v>
      </c>
      <c r="N114" s="404" t="e">
        <f>SUM($F113:$N113)</f>
        <v>#N/A</v>
      </c>
      <c r="O114" s="404" t="e">
        <f>SUM($F113:$O113)</f>
        <v>#N/A</v>
      </c>
      <c r="P114" s="448"/>
      <c r="Q114" s="372"/>
      <c r="R114" s="372"/>
      <c r="S114" s="404">
        <f>B111</f>
        <v>27</v>
      </c>
      <c r="T114" s="287" t="e">
        <f>$A111</f>
        <v>#N/A</v>
      </c>
      <c r="U114" s="287">
        <v>4</v>
      </c>
      <c r="V114" s="287" t="s">
        <v>162</v>
      </c>
      <c r="W114" s="372" t="e">
        <f t="shared" ref="W114:AF114" si="19">F114</f>
        <v>#N/A</v>
      </c>
      <c r="X114" s="372" t="e">
        <f t="shared" si="19"/>
        <v>#N/A</v>
      </c>
      <c r="Y114" s="372" t="e">
        <f t="shared" si="19"/>
        <v>#N/A</v>
      </c>
      <c r="Z114" s="372" t="e">
        <f t="shared" si="19"/>
        <v>#N/A</v>
      </c>
      <c r="AA114" s="372" t="e">
        <f t="shared" si="19"/>
        <v>#N/A</v>
      </c>
      <c r="AB114" s="372" t="e">
        <f t="shared" si="19"/>
        <v>#N/A</v>
      </c>
      <c r="AC114" s="372" t="e">
        <f t="shared" si="19"/>
        <v>#N/A</v>
      </c>
      <c r="AD114" s="372" t="e">
        <f t="shared" si="19"/>
        <v>#N/A</v>
      </c>
      <c r="AE114" s="372" t="e">
        <f t="shared" si="19"/>
        <v>#N/A</v>
      </c>
      <c r="AF114" s="372" t="e">
        <f t="shared" si="19"/>
        <v>#N/A</v>
      </c>
      <c r="AH114" s="231"/>
      <c r="AI114" s="231"/>
      <c r="AJ114" s="404">
        <v>462</v>
      </c>
      <c r="AK114" s="287"/>
    </row>
    <row r="115" spans="1:37" s="280" customFormat="1" ht="13.2" hidden="1" customHeight="1" thickBot="1" x14ac:dyDescent="0.3">
      <c r="A115" s="460"/>
      <c r="B115" s="461"/>
      <c r="C115" s="462" t="e">
        <f>VLOOKUP(B111,Уч!$A$2:$L$34,12,FALSE)</f>
        <v>#N/A</v>
      </c>
      <c r="D115" s="463"/>
      <c r="E115" s="510" t="s">
        <v>59</v>
      </c>
      <c r="F115" s="464" t="e">
        <f>RANK(F114,$W$19:$W$150,0)</f>
        <v>#N/A</v>
      </c>
      <c r="G115" s="461" t="e">
        <f>RANK(G114,$X$19:$X$150,0)</f>
        <v>#N/A</v>
      </c>
      <c r="H115" s="461" t="e">
        <f>RANK(H114,$Y$19:$Y$150,0)</f>
        <v>#N/A</v>
      </c>
      <c r="I115" s="461" t="e">
        <f>RANK(I114,$Z$19:$Z$150,0)</f>
        <v>#N/A</v>
      </c>
      <c r="J115" s="465" t="e">
        <f>RANK(J114,$AA$19:$AA$150,0)</f>
        <v>#N/A</v>
      </c>
      <c r="K115" s="461" t="e">
        <f>RANK(K114,$AB$19:$AB$150,0)</f>
        <v>#N/A</v>
      </c>
      <c r="L115" s="461" t="e">
        <f>RANK(L114,$AC$19:$AC$150,0)</f>
        <v>#N/A</v>
      </c>
      <c r="M115" s="461" t="e">
        <f>RANK(M114,$AD$19:$AD$150,0)</f>
        <v>#N/A</v>
      </c>
      <c r="N115" s="461" t="e">
        <f>RANK(N114,$AE$19:$AE$150,0)</f>
        <v>#N/A</v>
      </c>
      <c r="O115" s="461" t="e">
        <f>RANK(O114,$AF$19:$AF$150,0)</f>
        <v>#N/A</v>
      </c>
      <c r="P115" s="466"/>
      <c r="Q115" s="442"/>
      <c r="R115" s="442"/>
      <c r="S115" s="205">
        <f>B111</f>
        <v>27</v>
      </c>
      <c r="T115" s="287" t="e">
        <f>$A111</f>
        <v>#N/A</v>
      </c>
      <c r="U115" s="287">
        <v>5</v>
      </c>
      <c r="V115" s="287" t="s">
        <v>162</v>
      </c>
      <c r="W115" s="307"/>
      <c r="X115" s="307"/>
      <c r="Y115" s="307"/>
      <c r="Z115" s="307"/>
      <c r="AA115" s="307"/>
      <c r="AB115" s="307"/>
      <c r="AC115" s="307"/>
      <c r="AD115" s="450"/>
      <c r="AE115" s="450"/>
      <c r="AF115" s="450"/>
      <c r="AH115" s="231"/>
      <c r="AI115" s="231"/>
      <c r="AJ115" s="404">
        <v>462</v>
      </c>
      <c r="AK115" s="287"/>
    </row>
    <row r="116" spans="1:37" s="280" customFormat="1" ht="13.2" hidden="1" customHeight="1" thickTop="1" x14ac:dyDescent="0.35">
      <c r="A116" s="469" t="e">
        <f>RANK(P116,$P$16:$P$150,0)</f>
        <v>#N/A</v>
      </c>
      <c r="B116" s="404">
        <v>66</v>
      </c>
      <c r="C116" s="443" t="e">
        <f>VLOOKUP(B116,Уч!$A$2:$L$34,2,FALSE)</f>
        <v>#N/A</v>
      </c>
      <c r="D116" s="444" t="e">
        <f>VLOOKUP(B116,Уч!$A$2:$L$34,3,FALSE)</f>
        <v>#N/A</v>
      </c>
      <c r="E116" s="509" t="s">
        <v>19</v>
      </c>
      <c r="F116" s="445" t="e">
        <f>VLOOKUP($B116,'100 м 1'!$C$18:$I$87,5,FALSE)</f>
        <v>#N/A</v>
      </c>
      <c r="G116" s="471" t="e">
        <f>VLOOKUP($B116,'длина 2 '!$C$16:$O$54,11,FALSE)</f>
        <v>#N/A</v>
      </c>
      <c r="H116" s="471" t="e">
        <f>VLOOKUP($B116,'ядро 2'!$C$16:$K$60,8,FALSE)</f>
        <v>#N/A</v>
      </c>
      <c r="I116" s="471" t="e">
        <f>VLOOKUP($B116,'высота 2'!$C$16:$AF$57,29,FALSE)</f>
        <v>#N/A</v>
      </c>
      <c r="J116" s="472" t="e">
        <f>VLOOKUP($B116,'4_р'!$C$17:$H$73,5,FALSE)</f>
        <v>#N/A</v>
      </c>
      <c r="K116" s="471">
        <f>VLOOKUP($B116,'1cб_р'!$C$17:$I$67,5,FALSE)</f>
        <v>0</v>
      </c>
      <c r="L116" s="471">
        <f>VLOOKUP($B116,Дс_р!$C$16:$K$70,8,FALSE)</f>
        <v>0</v>
      </c>
      <c r="M116" s="471">
        <f>VLOOKUP($B116,Ш_р!$C$15:$AF$69,29,FALSE)</f>
        <v>0</v>
      </c>
      <c r="N116" s="471">
        <f>VLOOKUP($B116,К_р!$C$15:$K$68,8,FALSE)</f>
        <v>0</v>
      </c>
      <c r="O116" s="473">
        <f>VLOOKUP($B116,'15_р'!$C$17:$H$86,5,FALSE)</f>
        <v>0</v>
      </c>
      <c r="P116" s="448" t="e">
        <f>SUM(F118:O118)</f>
        <v>#N/A</v>
      </c>
      <c r="Q116" s="469" t="e">
        <f>LOOKUP(P116,Y$1:AH$1,Y$2:AH$2)</f>
        <v>#N/A</v>
      </c>
      <c r="R116" s="404" t="e">
        <f>AH116+AI116+5</f>
        <v>#N/A</v>
      </c>
      <c r="S116" s="404">
        <f>B116</f>
        <v>66</v>
      </c>
      <c r="T116" s="287" t="e">
        <f>$A116</f>
        <v>#N/A</v>
      </c>
      <c r="U116" s="287">
        <v>1</v>
      </c>
      <c r="V116" s="287" t="e">
        <f>$A116</f>
        <v>#N/A</v>
      </c>
      <c r="W116" s="449"/>
      <c r="X116" s="307"/>
      <c r="Y116" s="307"/>
      <c r="Z116" s="307"/>
      <c r="AA116" s="307"/>
      <c r="AB116" s="307"/>
      <c r="AC116" s="307"/>
      <c r="AD116" s="450"/>
      <c r="AE116" s="450"/>
      <c r="AF116" s="450"/>
      <c r="AH116" s="280" t="e">
        <f>IF(AND(T116&gt;16,P116&gt;=6200),"1",LOOKUP(T116,Y$5:AO$5,Y$6:AO$6))</f>
        <v>#N/A</v>
      </c>
      <c r="AI116" s="280" t="e">
        <f>LOOKUP(Q116,Y$8:AD$8,Y$9:AD$9)</f>
        <v>#N/A</v>
      </c>
      <c r="AJ116" s="404">
        <v>449</v>
      </c>
      <c r="AK116" s="231"/>
    </row>
    <row r="117" spans="1:37" s="280" customFormat="1" ht="13.2" hidden="1" customHeight="1" x14ac:dyDescent="0.35">
      <c r="A117" s="231"/>
      <c r="B117" s="404"/>
      <c r="C117" s="451" t="e">
        <f>VLOOKUP(B116,Уч!$A$2:$L$34,5,FALSE)</f>
        <v>#N/A</v>
      </c>
      <c r="D117" s="452" t="e">
        <f>VLOOKUP(B116,Уч!$A$2:$L$34,4,FALSE)</f>
        <v>#N/A</v>
      </c>
      <c r="E117" s="509" t="s">
        <v>25</v>
      </c>
      <c r="F117" s="453" t="e">
        <f>VLOOKUP($B116,'100 м 1'!$C$18:$I$87,6,FALSE)</f>
        <v>#N/A</v>
      </c>
      <c r="G117" s="476" t="e">
        <f>VLOOKUP($B116,'длина 2 '!$C$16:$O$54,12,FALSE)</f>
        <v>#N/A</v>
      </c>
      <c r="H117" s="473"/>
      <c r="I117" s="476"/>
      <c r="J117" s="477"/>
      <c r="K117" s="476">
        <f>VLOOKUP($B116,'1cб_р'!$C$17:$I$67,6,FALSE)</f>
        <v>0</v>
      </c>
      <c r="L117" s="476"/>
      <c r="M117" s="476"/>
      <c r="N117" s="473"/>
      <c r="O117" s="473"/>
      <c r="P117" s="448"/>
      <c r="Q117" s="456"/>
      <c r="R117" s="404" t="e">
        <f>CONCATENATE(AH116,"+",AI116,"+",5)</f>
        <v>#N/A</v>
      </c>
      <c r="S117" s="404">
        <f>B116</f>
        <v>66</v>
      </c>
      <c r="T117" s="287" t="e">
        <f>$A116</f>
        <v>#N/A</v>
      </c>
      <c r="U117" s="287">
        <v>2</v>
      </c>
      <c r="V117" s="287" t="e">
        <f>$A116</f>
        <v>#N/A</v>
      </c>
      <c r="W117" s="449"/>
      <c r="X117" s="307"/>
      <c r="Y117" s="307"/>
      <c r="Z117" s="307"/>
      <c r="AA117" s="307"/>
      <c r="AB117" s="307"/>
      <c r="AC117" s="307"/>
      <c r="AD117" s="450"/>
      <c r="AE117" s="450"/>
      <c r="AF117" s="450"/>
      <c r="AH117" s="231"/>
      <c r="AI117" s="231"/>
      <c r="AJ117" s="404">
        <v>449</v>
      </c>
      <c r="AK117" s="231"/>
    </row>
    <row r="118" spans="1:37" s="280" customFormat="1" ht="13.2" hidden="1" customHeight="1" x14ac:dyDescent="0.35">
      <c r="A118" s="231"/>
      <c r="B118" s="404"/>
      <c r="C118" s="457" t="e">
        <f>VLOOKUP(B116,Уч!$A$2:$L$34,7,FALSE)</f>
        <v>#N/A</v>
      </c>
      <c r="D118" s="452"/>
      <c r="E118" s="509" t="s">
        <v>29</v>
      </c>
      <c r="F118" s="458" t="e">
        <f>VLOOKUP($B116,'100 м 1'!$C$18:$I$87,7,FALSE)</f>
        <v>#N/A</v>
      </c>
      <c r="G118" s="473" t="e">
        <f>VLOOKUP($B116,'длина 2 '!$C$16:$O$54,13,FALSE)</f>
        <v>#N/A</v>
      </c>
      <c r="H118" s="473" t="e">
        <f>VLOOKUP($B116,'ядро 2'!$C$16:$K$60,9,FALSE)</f>
        <v>#N/A</v>
      </c>
      <c r="I118" s="473" t="e">
        <f>VLOOKUP($B116,'высота 2'!$C$16:$AF$57,30,)</f>
        <v>#N/A</v>
      </c>
      <c r="J118" s="479" t="e">
        <f>VLOOKUP($B116,'4_р'!$C$17:$H$73,6,FALSE)</f>
        <v>#N/A</v>
      </c>
      <c r="K118" s="473">
        <f>VLOOKUP($B116,'1cб_р'!$C$17:$I$67,7,FALSE)</f>
        <v>0</v>
      </c>
      <c r="L118" s="473">
        <f>VLOOKUP($B116,Дс_р!$C$16:$K$70,9,FALSE)</f>
        <v>0</v>
      </c>
      <c r="M118" s="473">
        <f>VLOOKUP($B116,Ш_р!$C$15:$AF$69,30,FALSE)</f>
        <v>0</v>
      </c>
      <c r="N118" s="473">
        <f>VLOOKUP($B116,К_р!$C$15:$K$68,9,FALSE)</f>
        <v>0</v>
      </c>
      <c r="O118" s="473">
        <f>VLOOKUP($B116,'15_р'!$C$17:$H$86,6,FALSE)</f>
        <v>0</v>
      </c>
      <c r="P118" s="448"/>
      <c r="Q118" s="468"/>
      <c r="R118" s="372"/>
      <c r="S118" s="404">
        <f>B116</f>
        <v>66</v>
      </c>
      <c r="T118" s="287" t="e">
        <f>$A116</f>
        <v>#N/A</v>
      </c>
      <c r="U118" s="287">
        <v>3</v>
      </c>
      <c r="V118" s="287" t="e">
        <f>$A116</f>
        <v>#N/A</v>
      </c>
      <c r="W118" s="449"/>
      <c r="X118" s="307"/>
      <c r="Y118" s="307"/>
      <c r="Z118" s="307"/>
      <c r="AA118" s="307"/>
      <c r="AB118" s="307"/>
      <c r="AC118" s="307"/>
      <c r="AD118" s="450"/>
      <c r="AE118" s="450"/>
      <c r="AF118" s="450"/>
      <c r="AH118" s="231"/>
      <c r="AI118" s="231"/>
      <c r="AJ118" s="404">
        <v>449</v>
      </c>
      <c r="AK118" s="231"/>
    </row>
    <row r="119" spans="1:37" s="280" customFormat="1" ht="13.2" hidden="1" customHeight="1" x14ac:dyDescent="0.35">
      <c r="A119" s="231"/>
      <c r="B119" s="404"/>
      <c r="C119" s="451" t="e">
        <f>VLOOKUP(B116,Уч!$A$2:$L$34,11,FALSE)</f>
        <v>#N/A</v>
      </c>
      <c r="D119" s="452"/>
      <c r="E119" s="509" t="s">
        <v>276</v>
      </c>
      <c r="F119" s="458" t="e">
        <f>F118</f>
        <v>#N/A</v>
      </c>
      <c r="G119" s="473" t="e">
        <f>F119+G118</f>
        <v>#N/A</v>
      </c>
      <c r="H119" s="473" t="e">
        <f>G119+H118</f>
        <v>#N/A</v>
      </c>
      <c r="I119" s="473" t="e">
        <f>H119+I118</f>
        <v>#N/A</v>
      </c>
      <c r="J119" s="479" t="e">
        <f>SUM($F118:J118)</f>
        <v>#N/A</v>
      </c>
      <c r="K119" s="473" t="e">
        <f>SUM($F118:$K118)</f>
        <v>#N/A</v>
      </c>
      <c r="L119" s="473" t="e">
        <f>K119+L118</f>
        <v>#N/A</v>
      </c>
      <c r="M119" s="473" t="e">
        <f>L119+M118</f>
        <v>#N/A</v>
      </c>
      <c r="N119" s="473" t="e">
        <f>SUM($F118:$N118)</f>
        <v>#N/A</v>
      </c>
      <c r="O119" s="473" t="e">
        <f>SUM($F118:$O118)</f>
        <v>#N/A</v>
      </c>
      <c r="P119" s="448"/>
      <c r="Q119" s="456"/>
      <c r="R119" s="372"/>
      <c r="S119" s="404">
        <f>B116</f>
        <v>66</v>
      </c>
      <c r="T119" s="287" t="e">
        <f>$A116</f>
        <v>#N/A</v>
      </c>
      <c r="U119" s="287">
        <v>4</v>
      </c>
      <c r="V119" s="287" t="e">
        <f>$A116</f>
        <v>#N/A</v>
      </c>
      <c r="W119" s="372" t="e">
        <f t="shared" ref="W119:AF119" si="20">F119</f>
        <v>#N/A</v>
      </c>
      <c r="X119" s="372" t="e">
        <f t="shared" si="20"/>
        <v>#N/A</v>
      </c>
      <c r="Y119" s="372" t="e">
        <f t="shared" si="20"/>
        <v>#N/A</v>
      </c>
      <c r="Z119" s="372" t="e">
        <f t="shared" si="20"/>
        <v>#N/A</v>
      </c>
      <c r="AA119" s="372" t="e">
        <f t="shared" si="20"/>
        <v>#N/A</v>
      </c>
      <c r="AB119" s="372" t="e">
        <f t="shared" si="20"/>
        <v>#N/A</v>
      </c>
      <c r="AC119" s="372" t="e">
        <f t="shared" si="20"/>
        <v>#N/A</v>
      </c>
      <c r="AD119" s="372" t="e">
        <f t="shared" si="20"/>
        <v>#N/A</v>
      </c>
      <c r="AE119" s="372" t="e">
        <f t="shared" si="20"/>
        <v>#N/A</v>
      </c>
      <c r="AF119" s="372" t="e">
        <f t="shared" si="20"/>
        <v>#N/A</v>
      </c>
      <c r="AH119" s="231"/>
      <c r="AI119" s="231"/>
      <c r="AJ119" s="404">
        <v>449</v>
      </c>
      <c r="AK119" s="231"/>
    </row>
    <row r="120" spans="1:37" s="280" customFormat="1" ht="13.2" hidden="1" customHeight="1" thickBot="1" x14ac:dyDescent="0.3">
      <c r="A120" s="460"/>
      <c r="B120" s="461"/>
      <c r="C120" s="462" t="e">
        <f>VLOOKUP(B116,Уч!$A$2:$L$34,12,FALSE)</f>
        <v>#N/A</v>
      </c>
      <c r="D120" s="463"/>
      <c r="E120" s="510" t="s">
        <v>59</v>
      </c>
      <c r="F120" s="464" t="e">
        <f>RANK(F119,$W$19:$W$150,0)</f>
        <v>#N/A</v>
      </c>
      <c r="G120" s="481" t="e">
        <f>RANK(G119,$X$19:$X$150,0)</f>
        <v>#N/A</v>
      </c>
      <c r="H120" s="481" t="e">
        <f>RANK(H119,$Y$19:$Y$150,0)</f>
        <v>#N/A</v>
      </c>
      <c r="I120" s="481" t="e">
        <f>RANK(I119,$Z$19:$Z$150,0)</f>
        <v>#N/A</v>
      </c>
      <c r="J120" s="482" t="e">
        <f>RANK(J119,$AA$19:$AA$150,0)</f>
        <v>#N/A</v>
      </c>
      <c r="K120" s="481" t="e">
        <f>RANK(K119,$AB$19:$AB$150,0)</f>
        <v>#N/A</v>
      </c>
      <c r="L120" s="481" t="e">
        <f>RANK(L119,$AC$19:$AC$150,0)</f>
        <v>#N/A</v>
      </c>
      <c r="M120" s="481" t="e">
        <f>RANK(M119,$AD$19:$AD$150,0)</f>
        <v>#N/A</v>
      </c>
      <c r="N120" s="481" t="e">
        <f>RANK(N119,$AE$19:$AE$150,0)</f>
        <v>#N/A</v>
      </c>
      <c r="O120" s="481" t="e">
        <f>RANK(O119,$AF$19:$AF$150,0)</f>
        <v>#N/A</v>
      </c>
      <c r="P120" s="466"/>
      <c r="Q120" s="442"/>
      <c r="R120" s="442"/>
      <c r="S120" s="205">
        <f>B116</f>
        <v>66</v>
      </c>
      <c r="T120" s="287" t="e">
        <f>$A116</f>
        <v>#N/A</v>
      </c>
      <c r="U120" s="287">
        <v>5</v>
      </c>
      <c r="V120" s="287" t="e">
        <f>$A116</f>
        <v>#N/A</v>
      </c>
      <c r="W120" s="449"/>
      <c r="X120" s="307"/>
      <c r="Y120" s="307"/>
      <c r="Z120" s="307"/>
      <c r="AA120" s="307"/>
      <c r="AB120" s="307"/>
      <c r="AC120" s="307"/>
      <c r="AD120" s="450"/>
      <c r="AE120" s="450"/>
      <c r="AF120" s="450"/>
      <c r="AH120" s="231"/>
      <c r="AI120" s="231"/>
      <c r="AJ120" s="404">
        <v>449</v>
      </c>
      <c r="AK120" s="231"/>
    </row>
    <row r="121" spans="1:37" s="280" customFormat="1" ht="13.2" hidden="1" customHeight="1" thickTop="1" x14ac:dyDescent="0.35">
      <c r="A121" s="469" t="e">
        <f>RANK(P121,$P$16:$P$150,0)</f>
        <v>#N/A</v>
      </c>
      <c r="B121" s="404">
        <v>39</v>
      </c>
      <c r="C121" s="443" t="str">
        <f>VLOOKUP(B121,Уч!$A$2:$L$34,2,FALSE)</f>
        <v>Левковский Андрей</v>
      </c>
      <c r="D121" s="444" t="str">
        <f>VLOOKUP(B121,Уч!$A$2:$L$34,3,FALSE)</f>
        <v>17.08.1997</v>
      </c>
      <c r="E121" s="509" t="s">
        <v>19</v>
      </c>
      <c r="F121" s="445">
        <f>VLOOKUP($B121,'100 м 1'!$C$18:$I$87,5,FALSE)</f>
        <v>11.7</v>
      </c>
      <c r="G121" s="446" t="e">
        <f>VLOOKUP($B121,'длина 2 '!$C$16:$O$54,11,FALSE)</f>
        <v>#N/A</v>
      </c>
      <c r="H121" s="471" t="e">
        <f>VLOOKUP($B121,'ядро 2'!$C$16:$K$60,8,FALSE)</f>
        <v>#N/A</v>
      </c>
      <c r="I121" s="471" t="e">
        <f>VLOOKUP($B121,'высота 2'!$C$16:$AF$57,29,FALSE)</f>
        <v>#N/A</v>
      </c>
      <c r="J121" s="472">
        <f>VLOOKUP($B121,'4_р'!$C$17:$H$73,5,FALSE)</f>
        <v>49.03</v>
      </c>
      <c r="K121" s="471">
        <f>VLOOKUP($B121,'1cб_р'!$C$17:$I$67,5,FALSE)</f>
        <v>15.49</v>
      </c>
      <c r="L121" s="471">
        <f>VLOOKUP($B121,Дс_р!$C$16:$K$70,8,FALSE)</f>
        <v>39.51</v>
      </c>
      <c r="M121" s="471">
        <f>VLOOKUP($B121,Ш_р!$C$15:$AF$69,29,FALSE)</f>
        <v>4.2</v>
      </c>
      <c r="N121" s="471">
        <f>VLOOKUP($B121,К_р!$C$15:$K$68,8,FALSE)</f>
        <v>51.08</v>
      </c>
      <c r="O121" s="473" t="str">
        <f>VLOOKUP($B121,'15_р'!$C$17:$H$86,5,FALSE)</f>
        <v>4:35.36</v>
      </c>
      <c r="P121" s="491" t="e">
        <f>SUM(F123:O123)</f>
        <v>#N/A</v>
      </c>
      <c r="Q121" s="469" t="e">
        <f>LOOKUP(P121,Y$1:AH$1,Y$2:AH$2)</f>
        <v>#N/A</v>
      </c>
      <c r="R121" s="404" t="e">
        <f>AH121+AI121+5</f>
        <v>#N/A</v>
      </c>
      <c r="S121" s="404">
        <f>B121</f>
        <v>39</v>
      </c>
      <c r="T121" s="287" t="e">
        <f>$A121</f>
        <v>#N/A</v>
      </c>
      <c r="U121" s="287">
        <v>1</v>
      </c>
      <c r="V121" s="287" t="e">
        <f>$A121</f>
        <v>#N/A</v>
      </c>
      <c r="W121" s="449"/>
      <c r="X121" s="307"/>
      <c r="Y121" s="307"/>
      <c r="Z121" s="307"/>
      <c r="AA121" s="307"/>
      <c r="AB121" s="307"/>
      <c r="AC121" s="307"/>
      <c r="AD121" s="450"/>
      <c r="AE121" s="450"/>
      <c r="AF121" s="450"/>
      <c r="AH121" s="280" t="e">
        <f>IF(AND(T121&gt;16,P121&gt;=6200),"1",LOOKUP(T121,Y$5:AO$5,Y$6:AO$6))</f>
        <v>#N/A</v>
      </c>
      <c r="AI121" s="280" t="e">
        <f>LOOKUP(Q121,Y$8:AD$8,Y$9:AD$9)</f>
        <v>#N/A</v>
      </c>
      <c r="AJ121" s="404">
        <v>505</v>
      </c>
      <c r="AK121" s="231"/>
    </row>
    <row r="122" spans="1:37" s="280" customFormat="1" ht="13.2" hidden="1" customHeight="1" x14ac:dyDescent="0.35">
      <c r="A122" s="231"/>
      <c r="B122" s="404"/>
      <c r="C122" s="451" t="str">
        <f>VLOOKUP(B121,Уч!$A$2:$L$34,5,FALSE)</f>
        <v xml:space="preserve">Кемеровская область  </v>
      </c>
      <c r="D122" s="444" t="str">
        <f>VLOOKUP(B121,Уч!$A$2:$L$34,4,FALSE)</f>
        <v>МС</v>
      </c>
      <c r="E122" s="509" t="s">
        <v>25</v>
      </c>
      <c r="F122" s="453">
        <f>VLOOKUP($B121,'100 м 1'!$C$18:$I$87,6,FALSE)</f>
        <v>0.1</v>
      </c>
      <c r="G122" s="454" t="e">
        <f>VLOOKUP($B121,'длина 2 '!$C$16:$O$54,12,FALSE)</f>
        <v>#N/A</v>
      </c>
      <c r="H122" s="473"/>
      <c r="I122" s="476"/>
      <c r="J122" s="477"/>
      <c r="K122" s="476">
        <f>VLOOKUP($B121,'1cб_р'!$C$17:$I$67,6,FALSE)</f>
        <v>0</v>
      </c>
      <c r="L122" s="476"/>
      <c r="M122" s="476"/>
      <c r="N122" s="473"/>
      <c r="O122" s="473"/>
      <c r="P122" s="448"/>
      <c r="Q122" s="456"/>
      <c r="R122" s="404" t="e">
        <f>CONCATENATE(AH121,"+",AI121,"+",5)</f>
        <v>#N/A</v>
      </c>
      <c r="S122" s="404">
        <f>B121</f>
        <v>39</v>
      </c>
      <c r="T122" s="287" t="e">
        <f>$A121</f>
        <v>#N/A</v>
      </c>
      <c r="U122" s="287">
        <v>2</v>
      </c>
      <c r="V122" s="287" t="e">
        <f>$A121</f>
        <v>#N/A</v>
      </c>
      <c r="W122" s="449"/>
      <c r="X122" s="307"/>
      <c r="Y122" s="307"/>
      <c r="Z122" s="307"/>
      <c r="AA122" s="307"/>
      <c r="AB122" s="307"/>
      <c r="AC122" s="307"/>
      <c r="AD122" s="450"/>
      <c r="AE122" s="450"/>
      <c r="AF122" s="450"/>
      <c r="AH122" s="231"/>
      <c r="AI122" s="231"/>
      <c r="AJ122" s="404">
        <v>505</v>
      </c>
      <c r="AK122" s="231"/>
    </row>
    <row r="123" spans="1:37" s="280" customFormat="1" ht="13.2" hidden="1" customHeight="1" x14ac:dyDescent="0.35">
      <c r="A123" s="231"/>
      <c r="B123" s="404"/>
      <c r="C123" s="457" t="str">
        <f>VLOOKUP(B121,Уч!$A$2:$L$34,7,FALSE)</f>
        <v>ГБФСУ КО "СШОР по легкой атлетике им. В.А.Савенкова"</v>
      </c>
      <c r="D123" s="444"/>
      <c r="E123" s="509" t="s">
        <v>29</v>
      </c>
      <c r="F123" s="458">
        <f>VLOOKUP($B121,'100 м 1'!$C$18:$I$87,7,FALSE)</f>
        <v>711</v>
      </c>
      <c r="G123" s="404" t="e">
        <f>VLOOKUP($B121,'длина 2 '!$C$16:$O$54,13,FALSE)</f>
        <v>#N/A</v>
      </c>
      <c r="H123" s="473" t="e">
        <f>VLOOKUP($B121,'ядро 2'!$C$16:$K$60,9,FALSE)</f>
        <v>#N/A</v>
      </c>
      <c r="I123" s="473" t="e">
        <f>VLOOKUP($B121,'высота 2'!$C$16:$AF$57,30,)</f>
        <v>#N/A</v>
      </c>
      <c r="J123" s="479">
        <f>VLOOKUP($B121,'4_р'!$C$17:$H$73,6,FALSE)</f>
        <v>860</v>
      </c>
      <c r="K123" s="473">
        <f>VLOOKUP($B121,'1cб_р'!$C$17:$I$67,7,FALSE)</f>
        <v>791</v>
      </c>
      <c r="L123" s="473">
        <f>VLOOKUP($B121,Дс_р!$C$16:$K$70,9,FALSE)</f>
        <v>655</v>
      </c>
      <c r="M123" s="473">
        <f>VLOOKUP($B121,Ш_р!$C$15:$AF$69,30,FALSE)</f>
        <v>673</v>
      </c>
      <c r="N123" s="473">
        <f>VLOOKUP($B121,К_р!$C$15:$K$68,9,FALSE)</f>
        <v>605</v>
      </c>
      <c r="O123" s="473">
        <f>VLOOKUP($B121,'15_р'!$C$17:$H$86,6,FALSE)</f>
        <v>710</v>
      </c>
      <c r="P123" s="448"/>
      <c r="Q123" s="372"/>
      <c r="R123" s="372"/>
      <c r="S123" s="404">
        <f>B121</f>
        <v>39</v>
      </c>
      <c r="T123" s="287" t="e">
        <f>$A121</f>
        <v>#N/A</v>
      </c>
      <c r="U123" s="287">
        <v>3</v>
      </c>
      <c r="V123" s="287" t="e">
        <f>$A121</f>
        <v>#N/A</v>
      </c>
      <c r="W123" s="449"/>
      <c r="X123" s="307"/>
      <c r="Y123" s="307"/>
      <c r="Z123" s="307"/>
      <c r="AA123" s="307"/>
      <c r="AB123" s="307"/>
      <c r="AC123" s="307"/>
      <c r="AD123" s="450"/>
      <c r="AE123" s="450"/>
      <c r="AF123" s="450"/>
      <c r="AH123" s="231"/>
      <c r="AI123" s="231"/>
      <c r="AJ123" s="404">
        <v>505</v>
      </c>
      <c r="AK123" s="231"/>
    </row>
    <row r="124" spans="1:37" s="280" customFormat="1" ht="13.2" hidden="1" customHeight="1" x14ac:dyDescent="0.35">
      <c r="A124" s="231"/>
      <c r="B124" s="404"/>
      <c r="C124" s="451" t="str">
        <f>VLOOKUP(B121,Уч!$A$2:$L$34,11,FALSE)</f>
        <v>Канашевич А.М., Ермишина Л.И., Ермишин Г.Н.</v>
      </c>
      <c r="D124" s="444"/>
      <c r="E124" s="509" t="s">
        <v>276</v>
      </c>
      <c r="F124" s="458">
        <f>F123</f>
        <v>711</v>
      </c>
      <c r="G124" s="404" t="e">
        <f>F124+G123</f>
        <v>#N/A</v>
      </c>
      <c r="H124" s="473" t="e">
        <f>G124+H123</f>
        <v>#N/A</v>
      </c>
      <c r="I124" s="473" t="e">
        <f>H124+I123</f>
        <v>#N/A</v>
      </c>
      <c r="J124" s="479" t="e">
        <f>SUM($F123:J123)</f>
        <v>#N/A</v>
      </c>
      <c r="K124" s="473" t="e">
        <f>SUM($F123:$K123)</f>
        <v>#N/A</v>
      </c>
      <c r="L124" s="473" t="e">
        <f>K124+L123</f>
        <v>#N/A</v>
      </c>
      <c r="M124" s="473" t="e">
        <f>L124+M123</f>
        <v>#N/A</v>
      </c>
      <c r="N124" s="473" t="e">
        <f>SUM($F123:$N123)</f>
        <v>#N/A</v>
      </c>
      <c r="O124" s="473" t="e">
        <f>SUM($F123:$O123)</f>
        <v>#N/A</v>
      </c>
      <c r="P124" s="448"/>
      <c r="Q124" s="372"/>
      <c r="R124" s="372"/>
      <c r="S124" s="404">
        <f>B121</f>
        <v>39</v>
      </c>
      <c r="T124" s="287" t="e">
        <f>$A121</f>
        <v>#N/A</v>
      </c>
      <c r="U124" s="287">
        <v>4</v>
      </c>
      <c r="V124" s="287" t="e">
        <f>$A121</f>
        <v>#N/A</v>
      </c>
      <c r="W124" s="372">
        <f t="shared" ref="W124:AF124" si="21">F124</f>
        <v>711</v>
      </c>
      <c r="X124" s="372" t="e">
        <f t="shared" si="21"/>
        <v>#N/A</v>
      </c>
      <c r="Y124" s="372" t="e">
        <f t="shared" si="21"/>
        <v>#N/A</v>
      </c>
      <c r="Z124" s="372" t="e">
        <f t="shared" si="21"/>
        <v>#N/A</v>
      </c>
      <c r="AA124" s="372" t="e">
        <f t="shared" si="21"/>
        <v>#N/A</v>
      </c>
      <c r="AB124" s="372" t="e">
        <f t="shared" si="21"/>
        <v>#N/A</v>
      </c>
      <c r="AC124" s="372" t="e">
        <f t="shared" si="21"/>
        <v>#N/A</v>
      </c>
      <c r="AD124" s="372" t="e">
        <f t="shared" si="21"/>
        <v>#N/A</v>
      </c>
      <c r="AE124" s="372" t="e">
        <f t="shared" si="21"/>
        <v>#N/A</v>
      </c>
      <c r="AF124" s="372" t="e">
        <f t="shared" si="21"/>
        <v>#N/A</v>
      </c>
      <c r="AH124" s="231"/>
      <c r="AI124" s="231"/>
      <c r="AJ124" s="404">
        <v>505</v>
      </c>
      <c r="AK124" s="231"/>
    </row>
    <row r="125" spans="1:37" s="280" customFormat="1" ht="13.2" hidden="1" customHeight="1" thickBot="1" x14ac:dyDescent="0.3">
      <c r="A125" s="460"/>
      <c r="B125" s="461"/>
      <c r="C125" s="462">
        <f>VLOOKUP(B121,Уч!$A$2:$L$34,12,FALSE)</f>
        <v>0</v>
      </c>
      <c r="D125" s="467"/>
      <c r="E125" s="510" t="s">
        <v>59</v>
      </c>
      <c r="F125" s="464" t="e">
        <f>RANK(F124,$W$19:$W$150,0)</f>
        <v>#N/A</v>
      </c>
      <c r="G125" s="461" t="e">
        <f>RANK(G124,$X$19:$X$150,0)</f>
        <v>#N/A</v>
      </c>
      <c r="H125" s="481" t="e">
        <f>RANK(H124,$Y$19:$Y$150,0)</f>
        <v>#N/A</v>
      </c>
      <c r="I125" s="481" t="e">
        <f>RANK(I124,$Z$19:$Z$150,0)</f>
        <v>#N/A</v>
      </c>
      <c r="J125" s="482" t="e">
        <f>RANK(J124,$AA$19:$AA$150,0)</f>
        <v>#N/A</v>
      </c>
      <c r="K125" s="481" t="e">
        <f>RANK(K124,$AB$19:$AB$150,0)</f>
        <v>#N/A</v>
      </c>
      <c r="L125" s="481" t="e">
        <f>RANK(L124,$AC$19:$AC$150,0)</f>
        <v>#N/A</v>
      </c>
      <c r="M125" s="481" t="e">
        <f>RANK(M124,$AD$19:$AD$150,0)</f>
        <v>#N/A</v>
      </c>
      <c r="N125" s="481" t="e">
        <f>RANK(N124,$AE$19:$AE$150,0)</f>
        <v>#N/A</v>
      </c>
      <c r="O125" s="481" t="e">
        <f>RANK(O124,$AF$19:$AF$150,0)</f>
        <v>#N/A</v>
      </c>
      <c r="P125" s="466"/>
      <c r="Q125" s="442"/>
      <c r="R125" s="442"/>
      <c r="S125" s="205">
        <f>B121</f>
        <v>39</v>
      </c>
      <c r="T125" s="287" t="e">
        <f>$A121</f>
        <v>#N/A</v>
      </c>
      <c r="U125" s="287">
        <v>5</v>
      </c>
      <c r="V125" s="287" t="e">
        <f>$A121</f>
        <v>#N/A</v>
      </c>
      <c r="W125" s="449"/>
      <c r="X125" s="307"/>
      <c r="Y125" s="307"/>
      <c r="Z125" s="307"/>
      <c r="AA125" s="307"/>
      <c r="AB125" s="307"/>
      <c r="AC125" s="307"/>
      <c r="AD125" s="450"/>
      <c r="AE125" s="450"/>
      <c r="AF125" s="450"/>
      <c r="AH125" s="231"/>
      <c r="AI125" s="231"/>
      <c r="AJ125" s="404">
        <v>505</v>
      </c>
      <c r="AK125" s="231"/>
    </row>
    <row r="126" spans="1:37" s="280" customFormat="1" ht="13.2" hidden="1" customHeight="1" thickTop="1" x14ac:dyDescent="0.35">
      <c r="A126" s="231" t="e">
        <f>RANK(P126,$P$16:$P$150,0)</f>
        <v>#N/A</v>
      </c>
      <c r="B126" s="404">
        <v>22</v>
      </c>
      <c r="C126" s="443" t="str">
        <f>VLOOKUP(B126,Уч!$A$2:$L$34,2,FALSE)</f>
        <v>Чернов Евгений</v>
      </c>
      <c r="D126" s="444" t="str">
        <f>VLOOKUP(B126,Уч!$A$2:$L$34,3,FALSE)</f>
        <v>09.11.1991</v>
      </c>
      <c r="E126" s="509" t="s">
        <v>19</v>
      </c>
      <c r="F126" s="445">
        <f>VLOOKUP($B126,'100 м 1'!$C$18:$I$87,5,FALSE)</f>
        <v>11.8</v>
      </c>
      <c r="G126" s="446" t="e">
        <f>VLOOKUP($B126,'длина 2 '!$C$16:$O$54,11,FALSE)</f>
        <v>#N/A</v>
      </c>
      <c r="H126" s="446" t="e">
        <f>VLOOKUP($B126,'ядро 2'!$C$16:$K$60,8,FALSE)</f>
        <v>#N/A</v>
      </c>
      <c r="I126" s="446" t="e">
        <f>VLOOKUP($B126,'высота 2'!$C$16:$AF$57,29,FALSE)</f>
        <v>#N/A</v>
      </c>
      <c r="J126" s="447" t="e">
        <f>VLOOKUP($B126,'4_р'!$C$17:$H$73,5,FALSE)</f>
        <v>#N/A</v>
      </c>
      <c r="K126" s="446" t="e">
        <f>VLOOKUP($B126,'1cб_р'!$C$17:$I$67,5,FALSE)</f>
        <v>#N/A</v>
      </c>
      <c r="L126" s="446" t="e">
        <f>VLOOKUP($B126,Дс_р!$C$16:$K$70,8,FALSE)</f>
        <v>#N/A</v>
      </c>
      <c r="M126" s="446" t="e">
        <f>VLOOKUP($B126,Ш_р!$C$15:$AF$69,29,FALSE)</f>
        <v>#N/A</v>
      </c>
      <c r="N126" s="446" t="e">
        <f>VLOOKUP($B126,К_р!$C$15:$K$68,8,FALSE)</f>
        <v>#N/A</v>
      </c>
      <c r="O126" s="404">
        <f>VLOOKUP($B126,'15_р'!$C$17:$H$86,5,FALSE)</f>
        <v>0</v>
      </c>
      <c r="P126" s="491" t="e">
        <f>SUM(F128:O128)</f>
        <v>#N/A</v>
      </c>
      <c r="Q126" s="469" t="e">
        <f>LOOKUP(P126,Y$1:AH$1,Y$2:AH$2)</f>
        <v>#N/A</v>
      </c>
      <c r="R126" s="404" t="e">
        <f>AH126+AI126+5</f>
        <v>#N/A</v>
      </c>
      <c r="S126" s="404">
        <f>B126</f>
        <v>22</v>
      </c>
      <c r="T126" s="287" t="e">
        <f>$A126</f>
        <v>#N/A</v>
      </c>
      <c r="U126" s="287">
        <v>1</v>
      </c>
      <c r="V126" s="287" t="s">
        <v>162</v>
      </c>
      <c r="W126" s="449"/>
      <c r="X126" s="307"/>
      <c r="Y126" s="307"/>
      <c r="Z126" s="307"/>
      <c r="AA126" s="307"/>
      <c r="AB126" s="307"/>
      <c r="AC126" s="307"/>
      <c r="AD126" s="450"/>
      <c r="AE126" s="450"/>
      <c r="AF126" s="450"/>
      <c r="AH126" s="280" t="e">
        <f>IF(AND(T126&gt;16,P126&gt;=6200),"1",LOOKUP(T126,Y$5:AO$5,Y$6:AO$6))</f>
        <v>#N/A</v>
      </c>
      <c r="AI126" s="280" t="e">
        <f>LOOKUP(Q126,Y$8:AD$8,Y$9:AD$9)</f>
        <v>#N/A</v>
      </c>
      <c r="AJ126" s="404">
        <v>506</v>
      </c>
      <c r="AK126" s="231"/>
    </row>
    <row r="127" spans="1:37" s="280" customFormat="1" ht="13.2" hidden="1" customHeight="1" x14ac:dyDescent="0.35">
      <c r="A127" s="231"/>
      <c r="B127" s="404"/>
      <c r="C127" s="451" t="str">
        <f>VLOOKUP(B126,Уч!$A$2:$L$34,5,FALSE)</f>
        <v xml:space="preserve">Краснодарский край  </v>
      </c>
      <c r="D127" s="444" t="str">
        <f>VLOOKUP(B126,Уч!$A$2:$L$34,4,FALSE)</f>
        <v>МС</v>
      </c>
      <c r="E127" s="509" t="s">
        <v>25</v>
      </c>
      <c r="F127" s="453">
        <f>VLOOKUP($B126,'100 м 1'!$C$18:$I$87,6,FALSE)</f>
        <v>0</v>
      </c>
      <c r="G127" s="454" t="e">
        <f>VLOOKUP($B126,'длина 2 '!$C$16:$O$54,12,FALSE)</f>
        <v>#N/A</v>
      </c>
      <c r="H127" s="404"/>
      <c r="I127" s="454"/>
      <c r="J127" s="455"/>
      <c r="K127" s="454" t="e">
        <f>VLOOKUP($B126,'1cб_р'!$C$17:$I$67,6,FALSE)</f>
        <v>#N/A</v>
      </c>
      <c r="L127" s="454"/>
      <c r="M127" s="454"/>
      <c r="N127" s="404"/>
      <c r="O127" s="404"/>
      <c r="P127" s="448"/>
      <c r="Q127" s="456"/>
      <c r="R127" s="404" t="e">
        <f>CONCATENATE(AH126,"+",AI126,"+",5)</f>
        <v>#N/A</v>
      </c>
      <c r="S127" s="404">
        <f>B126</f>
        <v>22</v>
      </c>
      <c r="T127" s="287" t="e">
        <f>$A126</f>
        <v>#N/A</v>
      </c>
      <c r="U127" s="287">
        <v>2</v>
      </c>
      <c r="V127" s="287" t="s">
        <v>162</v>
      </c>
      <c r="W127" s="449"/>
      <c r="X127" s="307"/>
      <c r="Y127" s="307"/>
      <c r="Z127" s="307"/>
      <c r="AA127" s="307"/>
      <c r="AB127" s="307"/>
      <c r="AC127" s="307"/>
      <c r="AD127" s="450"/>
      <c r="AE127" s="450"/>
      <c r="AF127" s="450"/>
      <c r="AH127" s="231"/>
      <c r="AI127" s="231"/>
      <c r="AJ127" s="404">
        <v>506</v>
      </c>
      <c r="AK127" s="231"/>
    </row>
    <row r="128" spans="1:37" s="280" customFormat="1" ht="13.2" hidden="1" customHeight="1" x14ac:dyDescent="0.35">
      <c r="A128" s="231"/>
      <c r="B128" s="404"/>
      <c r="C128" s="457" t="str">
        <f>VLOOKUP(B126,Уч!$A$2:$L$34,7,FALSE)</f>
        <v>ГБУ КК "ЦОП по легкой атлетике", ГБУ КК  "РЦСП по легкой атлетике"</v>
      </c>
      <c r="D128" s="444"/>
      <c r="E128" s="509" t="s">
        <v>29</v>
      </c>
      <c r="F128" s="458">
        <f>VLOOKUP($B126,'100 м 1'!$C$18:$I$87,7,FALSE)</f>
        <v>691</v>
      </c>
      <c r="G128" s="404" t="e">
        <f>VLOOKUP($B126,'длина 2 '!$C$16:$O$54,13,FALSE)</f>
        <v>#N/A</v>
      </c>
      <c r="H128" s="404" t="e">
        <f>VLOOKUP($B126,'ядро 2'!$C$16:$K$60,9,FALSE)</f>
        <v>#N/A</v>
      </c>
      <c r="I128" s="404" t="e">
        <f>VLOOKUP($B126,'высота 2'!$C$16:$AF$57,30,)</f>
        <v>#N/A</v>
      </c>
      <c r="J128" s="459" t="e">
        <f>VLOOKUP($B126,'4_р'!$C$17:$H$73,6,FALSE)</f>
        <v>#N/A</v>
      </c>
      <c r="K128" s="404" t="e">
        <f>VLOOKUP($B126,'1cб_р'!$C$17:$I$67,7,FALSE)</f>
        <v>#N/A</v>
      </c>
      <c r="L128" s="404" t="e">
        <f>VLOOKUP($B126,Дс_р!$C$16:$K$70,9,FALSE)</f>
        <v>#N/A</v>
      </c>
      <c r="M128" s="404" t="e">
        <f>VLOOKUP($B126,Ш_р!$C$15:$AF$69,30,FALSE)</f>
        <v>#N/A</v>
      </c>
      <c r="N128" s="404" t="e">
        <f>VLOOKUP($B126,К_р!$C$15:$K$68,9,FALSE)</f>
        <v>#N/A</v>
      </c>
      <c r="O128" s="404">
        <f>VLOOKUP($B126,'15_р'!$C$17:$H$86,6,FALSE)</f>
        <v>0</v>
      </c>
      <c r="P128" s="448"/>
      <c r="Q128" s="372"/>
      <c r="R128" s="372"/>
      <c r="S128" s="404">
        <f>B126</f>
        <v>22</v>
      </c>
      <c r="T128" s="287" t="e">
        <f>$A126</f>
        <v>#N/A</v>
      </c>
      <c r="U128" s="287">
        <v>3</v>
      </c>
      <c r="V128" s="287" t="s">
        <v>162</v>
      </c>
      <c r="W128" s="449"/>
      <c r="X128" s="307"/>
      <c r="Y128" s="307"/>
      <c r="Z128" s="307"/>
      <c r="AA128" s="307"/>
      <c r="AB128" s="307"/>
      <c r="AC128" s="307"/>
      <c r="AD128" s="450"/>
      <c r="AE128" s="450"/>
      <c r="AF128" s="450"/>
      <c r="AH128" s="231"/>
      <c r="AI128" s="231"/>
      <c r="AJ128" s="404">
        <v>506</v>
      </c>
      <c r="AK128" s="231"/>
    </row>
    <row r="129" spans="1:37" s="280" customFormat="1" ht="13.2" hidden="1" customHeight="1" x14ac:dyDescent="0.35">
      <c r="A129" s="231"/>
      <c r="B129" s="404"/>
      <c r="C129" s="451" t="str">
        <f>VLOOKUP(B126,Уч!$A$2:$L$34,11,FALSE)</f>
        <v>Чернов С.А., Мирошниченко В.И., Чернова Т.С.</v>
      </c>
      <c r="D129" s="444"/>
      <c r="E129" s="509" t="s">
        <v>276</v>
      </c>
      <c r="F129" s="458">
        <f>F128</f>
        <v>691</v>
      </c>
      <c r="G129" s="404" t="e">
        <f>F129+G128</f>
        <v>#N/A</v>
      </c>
      <c r="H129" s="404" t="e">
        <f>G129+H128</f>
        <v>#N/A</v>
      </c>
      <c r="I129" s="404" t="e">
        <f>H129+I128</f>
        <v>#N/A</v>
      </c>
      <c r="J129" s="459" t="e">
        <f>SUM($F128:J128)</f>
        <v>#N/A</v>
      </c>
      <c r="K129" s="404" t="e">
        <f>SUM($F128:$K128)</f>
        <v>#N/A</v>
      </c>
      <c r="L129" s="404" t="e">
        <f>K129+L128</f>
        <v>#N/A</v>
      </c>
      <c r="M129" s="404" t="e">
        <f>L129+M128</f>
        <v>#N/A</v>
      </c>
      <c r="N129" s="404" t="e">
        <f>SUM($F128:$N128)</f>
        <v>#N/A</v>
      </c>
      <c r="O129" s="404" t="e">
        <f>SUM($F128:$O128)</f>
        <v>#N/A</v>
      </c>
      <c r="P129" s="448"/>
      <c r="Q129" s="372"/>
      <c r="R129" s="372"/>
      <c r="S129" s="404">
        <f>B126</f>
        <v>22</v>
      </c>
      <c r="T129" s="287" t="e">
        <f>$A126</f>
        <v>#N/A</v>
      </c>
      <c r="U129" s="287">
        <v>4</v>
      </c>
      <c r="V129" s="287" t="s">
        <v>162</v>
      </c>
      <c r="W129" s="372">
        <f t="shared" ref="W129:AF129" si="22">F129</f>
        <v>691</v>
      </c>
      <c r="X129" s="372" t="e">
        <f t="shared" si="22"/>
        <v>#N/A</v>
      </c>
      <c r="Y129" s="372" t="e">
        <f t="shared" si="22"/>
        <v>#N/A</v>
      </c>
      <c r="Z129" s="372" t="e">
        <f t="shared" si="22"/>
        <v>#N/A</v>
      </c>
      <c r="AA129" s="372" t="e">
        <f t="shared" si="22"/>
        <v>#N/A</v>
      </c>
      <c r="AB129" s="372" t="e">
        <f t="shared" si="22"/>
        <v>#N/A</v>
      </c>
      <c r="AC129" s="372" t="e">
        <f t="shared" si="22"/>
        <v>#N/A</v>
      </c>
      <c r="AD129" s="372" t="e">
        <f t="shared" si="22"/>
        <v>#N/A</v>
      </c>
      <c r="AE129" s="372" t="e">
        <f t="shared" si="22"/>
        <v>#N/A</v>
      </c>
      <c r="AF129" s="372" t="e">
        <f t="shared" si="22"/>
        <v>#N/A</v>
      </c>
      <c r="AH129" s="231"/>
      <c r="AI129" s="231"/>
      <c r="AJ129" s="404">
        <v>506</v>
      </c>
      <c r="AK129" s="231"/>
    </row>
    <row r="130" spans="1:37" s="280" customFormat="1" ht="13.2" hidden="1" customHeight="1" thickBot="1" x14ac:dyDescent="0.3">
      <c r="A130" s="460"/>
      <c r="B130" s="461"/>
      <c r="C130" s="462">
        <f>VLOOKUP(B126,Уч!$A$2:$L$34,12,FALSE)</f>
        <v>0</v>
      </c>
      <c r="D130" s="467"/>
      <c r="E130" s="510" t="s">
        <v>59</v>
      </c>
      <c r="F130" s="464" t="e">
        <f>RANK(F129,$W$19:$W$150,0)</f>
        <v>#N/A</v>
      </c>
      <c r="G130" s="461" t="e">
        <f>RANK(G129,$X$19:$X$150,0)</f>
        <v>#N/A</v>
      </c>
      <c r="H130" s="461" t="e">
        <f>RANK(H129,$Y$19:$Y$150,0)</f>
        <v>#N/A</v>
      </c>
      <c r="I130" s="461" t="e">
        <f>RANK(I129,$Z$19:$Z$150,0)</f>
        <v>#N/A</v>
      </c>
      <c r="J130" s="465" t="e">
        <f>RANK(J129,$AA$19:$AA$150,0)</f>
        <v>#N/A</v>
      </c>
      <c r="K130" s="461" t="e">
        <f>RANK(K129,$AB$19:$AB$150,0)</f>
        <v>#N/A</v>
      </c>
      <c r="L130" s="461" t="e">
        <f>RANK(L129,$AC$19:$AC$150,0)</f>
        <v>#N/A</v>
      </c>
      <c r="M130" s="461" t="e">
        <f>RANK(M129,$AD$19:$AD$150,0)</f>
        <v>#N/A</v>
      </c>
      <c r="N130" s="461" t="e">
        <f>RANK(N129,$AE$19:$AE$150,0)</f>
        <v>#N/A</v>
      </c>
      <c r="O130" s="461" t="e">
        <f>RANK(O129,$AF$19:$AF$150,0)</f>
        <v>#N/A</v>
      </c>
      <c r="P130" s="466"/>
      <c r="Q130" s="442"/>
      <c r="R130" s="442"/>
      <c r="S130" s="205">
        <f>B126</f>
        <v>22</v>
      </c>
      <c r="T130" s="287" t="e">
        <f>$A126</f>
        <v>#N/A</v>
      </c>
      <c r="U130" s="287">
        <v>5</v>
      </c>
      <c r="V130" s="287" t="s">
        <v>162</v>
      </c>
      <c r="W130" s="449"/>
      <c r="X130" s="307"/>
      <c r="Y130" s="307"/>
      <c r="Z130" s="307"/>
      <c r="AA130" s="307"/>
      <c r="AB130" s="307"/>
      <c r="AC130" s="307"/>
      <c r="AD130" s="450"/>
      <c r="AE130" s="450"/>
      <c r="AF130" s="450"/>
      <c r="AJ130" s="404">
        <v>506</v>
      </c>
      <c r="AK130" s="231"/>
    </row>
    <row r="131" spans="1:37" s="280" customFormat="1" ht="13.2" hidden="1" customHeight="1" thickTop="1" x14ac:dyDescent="0.35">
      <c r="A131" s="231" t="e">
        <f>RANK(P131,$P$16:$P$150,0)</f>
        <v>#N/A</v>
      </c>
      <c r="B131" s="404">
        <v>25</v>
      </c>
      <c r="C131" s="443" t="e">
        <f>VLOOKUP(B131,Уч!$A$2:$L$34,2,FALSE)</f>
        <v>#N/A</v>
      </c>
      <c r="D131" s="444" t="e">
        <f>VLOOKUP(B131,Уч!$A$2:$L$34,3,FALSE)</f>
        <v>#N/A</v>
      </c>
      <c r="E131" s="509" t="s">
        <v>19</v>
      </c>
      <c r="F131" s="445">
        <f>VLOOKUP($B131,'100 м 1'!$C$18:$I$87,5,FALSE)</f>
        <v>11.3</v>
      </c>
      <c r="G131" s="446" t="e">
        <f>VLOOKUP($B131,'длина 2 '!$C$16:$O$54,11,FALSE)</f>
        <v>#N/A</v>
      </c>
      <c r="H131" s="446" t="e">
        <f>VLOOKUP($B131,'ядро 2'!$C$16:$K$60,8,FALSE)</f>
        <v>#N/A</v>
      </c>
      <c r="I131" s="446" t="e">
        <f>VLOOKUP($B131,'высота 2'!$C$16:$AF$57,29,FALSE)</f>
        <v>#N/A</v>
      </c>
      <c r="J131" s="447" t="e">
        <f>VLOOKUP($B131,'4_р'!$C$17:$H$73,5,FALSE)</f>
        <v>#N/A</v>
      </c>
      <c r="K131" s="446" t="e">
        <f>VLOOKUP($B131,'1cб_р'!$C$17:$I$67,5,FALSE)</f>
        <v>#N/A</v>
      </c>
      <c r="L131" s="446" t="e">
        <f>VLOOKUP($B131,Дс_р!$C$16:$K$70,8,FALSE)</f>
        <v>#N/A</v>
      </c>
      <c r="M131" s="446">
        <f>VLOOKUP($B131,Ш_р!$C$15:$AF$69,29,FALSE)</f>
        <v>0</v>
      </c>
      <c r="N131" s="446">
        <f>VLOOKUP($B131,К_р!$C$15:$K$68,8,FALSE)</f>
        <v>0</v>
      </c>
      <c r="O131" s="404" t="e">
        <f>VLOOKUP($B131,'15_р'!$C$17:$H$86,5,FALSE)</f>
        <v>#N/A</v>
      </c>
      <c r="P131" s="491" t="e">
        <f>SUM(F133:O133)</f>
        <v>#N/A</v>
      </c>
      <c r="Q131" s="231" t="e">
        <f>LOOKUP(P131,Y$1:AH$1,Y$2:AH$2)</f>
        <v>#N/A</v>
      </c>
      <c r="R131" s="404" t="e">
        <f>AH131+AI131+5</f>
        <v>#N/A</v>
      </c>
      <c r="S131" s="404">
        <f>B131</f>
        <v>25</v>
      </c>
      <c r="T131" s="287" t="e">
        <f>$A131</f>
        <v>#N/A</v>
      </c>
      <c r="U131" s="287">
        <v>1</v>
      </c>
      <c r="V131" s="287" t="e">
        <f>$A131</f>
        <v>#N/A</v>
      </c>
      <c r="W131" s="449"/>
      <c r="X131" s="307"/>
      <c r="Y131" s="307"/>
      <c r="Z131" s="307"/>
      <c r="AA131" s="307"/>
      <c r="AB131" s="307"/>
      <c r="AC131" s="307"/>
      <c r="AD131" s="450"/>
      <c r="AE131" s="450"/>
      <c r="AF131" s="450"/>
      <c r="AH131" s="280" t="e">
        <f>IF(AND(T131&gt;16,P131&gt;=6200),"1",LOOKUP(T131,Y$5:AO$5,Y$6:AO$6))</f>
        <v>#N/A</v>
      </c>
      <c r="AI131" s="280" t="e">
        <f>LOOKUP(Q131,Y$8:AD$8,Y$9:AD$9)</f>
        <v>#N/A</v>
      </c>
      <c r="AJ131" s="404">
        <v>505</v>
      </c>
      <c r="AK131" s="231"/>
    </row>
    <row r="132" spans="1:37" s="280" customFormat="1" ht="13.2" hidden="1" customHeight="1" x14ac:dyDescent="0.35">
      <c r="A132" s="231"/>
      <c r="B132" s="404"/>
      <c r="C132" s="451" t="e">
        <f>VLOOKUP(B131,Уч!$A$2:$L$34,5,FALSE)</f>
        <v>#N/A</v>
      </c>
      <c r="D132" s="444" t="e">
        <f>VLOOKUP(B131,Уч!$A$2:$L$34,4,FALSE)</f>
        <v>#N/A</v>
      </c>
      <c r="E132" s="509" t="s">
        <v>25</v>
      </c>
      <c r="F132" s="453">
        <f>VLOOKUP($B131,'100 м 1'!$C$18:$I$87,6,FALSE)</f>
        <v>1</v>
      </c>
      <c r="G132" s="454" t="e">
        <f>VLOOKUP($B131,'длина 2 '!$C$16:$O$54,12,FALSE)</f>
        <v>#N/A</v>
      </c>
      <c r="H132" s="404"/>
      <c r="I132" s="454"/>
      <c r="J132" s="455"/>
      <c r="K132" s="454" t="e">
        <f>VLOOKUP($B131,'1cб_р'!$C$17:$I$67,6,FALSE)</f>
        <v>#N/A</v>
      </c>
      <c r="L132" s="454"/>
      <c r="M132" s="454"/>
      <c r="N132" s="404"/>
      <c r="O132" s="404"/>
      <c r="P132" s="448"/>
      <c r="Q132" s="456"/>
      <c r="R132" s="404" t="e">
        <f>CONCATENATE(AH131,"+",AI131,"+",5)</f>
        <v>#N/A</v>
      </c>
      <c r="S132" s="404">
        <f>B131</f>
        <v>25</v>
      </c>
      <c r="T132" s="287" t="e">
        <f>$A131</f>
        <v>#N/A</v>
      </c>
      <c r="U132" s="287">
        <v>2</v>
      </c>
      <c r="V132" s="287" t="e">
        <f>$A131</f>
        <v>#N/A</v>
      </c>
      <c r="W132" s="449"/>
      <c r="X132" s="307"/>
      <c r="Y132" s="307"/>
      <c r="Z132" s="307"/>
      <c r="AA132" s="307"/>
      <c r="AB132" s="307"/>
      <c r="AC132" s="307"/>
      <c r="AD132" s="450"/>
      <c r="AE132" s="450"/>
      <c r="AF132" s="450"/>
      <c r="AH132" s="231"/>
      <c r="AI132" s="231"/>
      <c r="AJ132" s="404">
        <v>505</v>
      </c>
      <c r="AK132" s="231"/>
    </row>
    <row r="133" spans="1:37" s="280" customFormat="1" ht="13.2" hidden="1" customHeight="1" x14ac:dyDescent="0.35">
      <c r="A133" s="231"/>
      <c r="B133" s="404"/>
      <c r="C133" s="457" t="e">
        <f>VLOOKUP(B131,Уч!$A$2:$L$34,7,FALSE)</f>
        <v>#N/A</v>
      </c>
      <c r="D133" s="444"/>
      <c r="E133" s="509" t="s">
        <v>29</v>
      </c>
      <c r="F133" s="458">
        <f>VLOOKUP($B131,'100 м 1'!$C$18:$I$87,7,FALSE)</f>
        <v>795</v>
      </c>
      <c r="G133" s="404" t="e">
        <f>VLOOKUP($B131,'длина 2 '!$C$16:$O$54,13,FALSE)</f>
        <v>#N/A</v>
      </c>
      <c r="H133" s="404" t="e">
        <f>VLOOKUP($B131,'ядро 2'!$C$16:$K$60,9,FALSE)</f>
        <v>#N/A</v>
      </c>
      <c r="I133" s="404" t="e">
        <f>VLOOKUP($B131,'высота 2'!$C$16:$AF$57,30,)</f>
        <v>#N/A</v>
      </c>
      <c r="J133" s="459" t="e">
        <f>VLOOKUP($B131,'4_р'!$C$17:$H$73,6,FALSE)</f>
        <v>#N/A</v>
      </c>
      <c r="K133" s="404" t="e">
        <f>VLOOKUP($B131,'1cб_р'!$C$17:$I$67,7,FALSE)</f>
        <v>#N/A</v>
      </c>
      <c r="L133" s="404" t="e">
        <f>VLOOKUP($B131,Дс_р!$C$16:$K$70,9,FALSE)</f>
        <v>#N/A</v>
      </c>
      <c r="M133" s="404">
        <f>VLOOKUP($B131,Ш_р!$C$15:$AF$69,30,FALSE)</f>
        <v>0</v>
      </c>
      <c r="N133" s="404">
        <f>VLOOKUP($B131,К_р!$C$15:$K$68,9,FALSE)</f>
        <v>0</v>
      </c>
      <c r="O133" s="404" t="e">
        <f>VLOOKUP($B131,'15_р'!$C$17:$H$86,6,FALSE)</f>
        <v>#N/A</v>
      </c>
      <c r="P133" s="448"/>
      <c r="Q133" s="372"/>
      <c r="R133" s="372"/>
      <c r="S133" s="404">
        <f>B131</f>
        <v>25</v>
      </c>
      <c r="T133" s="287" t="e">
        <f>$A131</f>
        <v>#N/A</v>
      </c>
      <c r="U133" s="287">
        <v>3</v>
      </c>
      <c r="V133" s="287" t="e">
        <f>$A131</f>
        <v>#N/A</v>
      </c>
      <c r="W133" s="449"/>
      <c r="X133" s="307"/>
      <c r="Y133" s="307"/>
      <c r="Z133" s="307"/>
      <c r="AA133" s="307"/>
      <c r="AB133" s="307"/>
      <c r="AC133" s="307"/>
      <c r="AD133" s="450"/>
      <c r="AE133" s="450"/>
      <c r="AF133" s="450"/>
      <c r="AH133" s="231"/>
      <c r="AI133" s="231"/>
      <c r="AJ133" s="404">
        <v>505</v>
      </c>
      <c r="AK133" s="231"/>
    </row>
    <row r="134" spans="1:37" s="280" customFormat="1" ht="13.2" hidden="1" customHeight="1" x14ac:dyDescent="0.35">
      <c r="A134" s="231"/>
      <c r="B134" s="404"/>
      <c r="C134" s="451" t="e">
        <f>VLOOKUP(B131,Уч!$A$2:$L$34,11,FALSE)</f>
        <v>#N/A</v>
      </c>
      <c r="D134" s="444"/>
      <c r="E134" s="509" t="s">
        <v>276</v>
      </c>
      <c r="F134" s="458">
        <f>F133</f>
        <v>795</v>
      </c>
      <c r="G134" s="404" t="e">
        <f>F134+G133</f>
        <v>#N/A</v>
      </c>
      <c r="H134" s="404" t="e">
        <f>G134+H133</f>
        <v>#N/A</v>
      </c>
      <c r="I134" s="404" t="e">
        <f>H134+I133</f>
        <v>#N/A</v>
      </c>
      <c r="J134" s="459" t="e">
        <f>SUM($F133:J133)</f>
        <v>#N/A</v>
      </c>
      <c r="K134" s="404" t="e">
        <f>SUM($F133:$K133)</f>
        <v>#N/A</v>
      </c>
      <c r="L134" s="404" t="e">
        <f>K134+L133</f>
        <v>#N/A</v>
      </c>
      <c r="M134" s="404" t="e">
        <f>L134+M133</f>
        <v>#N/A</v>
      </c>
      <c r="N134" s="404" t="e">
        <f>SUM($F133:$N133)</f>
        <v>#N/A</v>
      </c>
      <c r="O134" s="404" t="e">
        <f>SUM($F133:$O133)</f>
        <v>#N/A</v>
      </c>
      <c r="P134" s="448"/>
      <c r="Q134" s="372"/>
      <c r="R134" s="372"/>
      <c r="S134" s="404">
        <f>B131</f>
        <v>25</v>
      </c>
      <c r="T134" s="287" t="e">
        <f>$A131</f>
        <v>#N/A</v>
      </c>
      <c r="U134" s="287">
        <v>4</v>
      </c>
      <c r="V134" s="287" t="e">
        <f>$A131</f>
        <v>#N/A</v>
      </c>
      <c r="W134" s="372">
        <f t="shared" ref="W134:AF134" si="23">F134</f>
        <v>795</v>
      </c>
      <c r="X134" s="372" t="e">
        <f t="shared" si="23"/>
        <v>#N/A</v>
      </c>
      <c r="Y134" s="372" t="e">
        <f t="shared" si="23"/>
        <v>#N/A</v>
      </c>
      <c r="Z134" s="372" t="e">
        <f t="shared" si="23"/>
        <v>#N/A</v>
      </c>
      <c r="AA134" s="372" t="e">
        <f t="shared" si="23"/>
        <v>#N/A</v>
      </c>
      <c r="AB134" s="372" t="e">
        <f t="shared" si="23"/>
        <v>#N/A</v>
      </c>
      <c r="AC134" s="372" t="e">
        <f t="shared" si="23"/>
        <v>#N/A</v>
      </c>
      <c r="AD134" s="372" t="e">
        <f t="shared" si="23"/>
        <v>#N/A</v>
      </c>
      <c r="AE134" s="372" t="e">
        <f t="shared" si="23"/>
        <v>#N/A</v>
      </c>
      <c r="AF134" s="372" t="e">
        <f t="shared" si="23"/>
        <v>#N/A</v>
      </c>
      <c r="AH134" s="231"/>
      <c r="AI134" s="231"/>
      <c r="AJ134" s="404">
        <v>505</v>
      </c>
      <c r="AK134" s="231"/>
    </row>
    <row r="135" spans="1:37" s="280" customFormat="1" ht="13.2" hidden="1" customHeight="1" thickBot="1" x14ac:dyDescent="0.3">
      <c r="A135" s="460"/>
      <c r="B135" s="461"/>
      <c r="C135" s="462" t="e">
        <f>VLOOKUP(B131,Уч!$A$2:$L$34,12,FALSE)</f>
        <v>#N/A</v>
      </c>
      <c r="D135" s="467"/>
      <c r="E135" s="510" t="s">
        <v>59</v>
      </c>
      <c r="F135" s="464" t="e">
        <f>RANK(F134,$W$19:$W$150,0)</f>
        <v>#N/A</v>
      </c>
      <c r="G135" s="461" t="e">
        <f>RANK(G134,$X$19:$X$150,0)</f>
        <v>#N/A</v>
      </c>
      <c r="H135" s="461" t="e">
        <f>RANK(H134,$Y$19:$Y$150,0)</f>
        <v>#N/A</v>
      </c>
      <c r="I135" s="461" t="e">
        <f>RANK(I134,$Z$19:$Z$150,0)</f>
        <v>#N/A</v>
      </c>
      <c r="J135" s="465" t="e">
        <f>RANK(J134,$AA$19:$AA$150,0)</f>
        <v>#N/A</v>
      </c>
      <c r="K135" s="461" t="e">
        <f>RANK(K134,$AB$19:$AB$150,0)</f>
        <v>#N/A</v>
      </c>
      <c r="L135" s="461" t="e">
        <f>RANK(L134,$AC$19:$AC$150,0)</f>
        <v>#N/A</v>
      </c>
      <c r="M135" s="461" t="e">
        <f>RANK(M134,$AD$19:$AD$150,0)</f>
        <v>#N/A</v>
      </c>
      <c r="N135" s="461" t="e">
        <f>RANK(N134,$AE$19:$AE$150,0)</f>
        <v>#N/A</v>
      </c>
      <c r="O135" s="461" t="e">
        <f>RANK(O134,$AF$19:$AF$150,0)</f>
        <v>#N/A</v>
      </c>
      <c r="P135" s="466"/>
      <c r="Q135" s="442"/>
      <c r="R135" s="442"/>
      <c r="S135" s="205">
        <f>B131</f>
        <v>25</v>
      </c>
      <c r="T135" s="287" t="e">
        <f>$A131</f>
        <v>#N/A</v>
      </c>
      <c r="U135" s="287">
        <v>5</v>
      </c>
      <c r="V135" s="287" t="e">
        <f>$A131</f>
        <v>#N/A</v>
      </c>
      <c r="W135" s="449"/>
      <c r="X135" s="307"/>
      <c r="Y135" s="307"/>
      <c r="Z135" s="307"/>
      <c r="AA135" s="307"/>
      <c r="AB135" s="307"/>
      <c r="AC135" s="307"/>
      <c r="AD135" s="450"/>
      <c r="AE135" s="450"/>
      <c r="AF135" s="450"/>
      <c r="AH135" s="231"/>
      <c r="AI135" s="231"/>
      <c r="AJ135" s="404">
        <v>505</v>
      </c>
      <c r="AK135" s="231"/>
    </row>
    <row r="136" spans="1:37" s="280" customFormat="1" ht="13.2" hidden="1" customHeight="1" thickTop="1" x14ac:dyDescent="0.35">
      <c r="A136" s="469" t="e">
        <f>RANK(P136,$P$16:$P$150,0)</f>
        <v>#N/A</v>
      </c>
      <c r="B136" s="404">
        <v>41</v>
      </c>
      <c r="C136" s="443" t="str">
        <f>VLOOKUP(B136,Уч!$A$2:$L$34,2,FALSE)</f>
        <v>Фомичев Андрей</v>
      </c>
      <c r="D136" s="444" t="str">
        <f>VLOOKUP(B136,Уч!$A$2:$L$34,3,FALSE)</f>
        <v>15.12.1996</v>
      </c>
      <c r="E136" s="509" t="s">
        <v>19</v>
      </c>
      <c r="F136" s="445">
        <f>VLOOKUP($B136,'100 м 1'!$C$18:$I$87,5,FALSE)</f>
        <v>11.3</v>
      </c>
      <c r="G136" s="471" t="e">
        <f>VLOOKUP($B136,'длина 2 '!$C$16:$O$54,11,FALSE)</f>
        <v>#N/A</v>
      </c>
      <c r="H136" s="471" t="e">
        <f>VLOOKUP($B136,'ядро 2'!$C$16:$K$60,8,FALSE)</f>
        <v>#N/A</v>
      </c>
      <c r="I136" s="471">
        <f>VLOOKUP($B136,'высота 2'!$C$16:$AF$57,29,FALSE)</f>
        <v>2</v>
      </c>
      <c r="J136" s="472">
        <f>VLOOKUP($B136,'4_р'!$C$17:$H$73,5,FALSE)</f>
        <v>52.48</v>
      </c>
      <c r="K136" s="471">
        <f>VLOOKUP($B136,'1cб_р'!$C$17:$I$67,5,FALSE)</f>
        <v>16.12</v>
      </c>
      <c r="L136" s="471">
        <f>VLOOKUP($B136,Дс_р!$C$16:$K$70,8,FALSE)</f>
        <v>33.42</v>
      </c>
      <c r="M136" s="471">
        <f>VLOOKUP($B136,Ш_р!$C$15:$AF$69,29,FALSE)</f>
        <v>4.3</v>
      </c>
      <c r="N136" s="471">
        <f>VLOOKUP($B136,К_р!$C$15:$K$68,8,FALSE)</f>
        <v>46.12</v>
      </c>
      <c r="O136" s="473" t="str">
        <f>VLOOKUP($B136,'15_р'!$C$17:$H$86,5,FALSE)</f>
        <v>4:52.72</v>
      </c>
      <c r="P136" s="491" t="e">
        <f>SUM(F138:O138)</f>
        <v>#N/A</v>
      </c>
      <c r="Q136" s="469" t="e">
        <f>LOOKUP(P136,Y$1:AH$1,Y$2:AH$2)</f>
        <v>#N/A</v>
      </c>
      <c r="R136" s="404" t="e">
        <f>AH136+AI136+5</f>
        <v>#N/A</v>
      </c>
      <c r="S136" s="404">
        <f>B136</f>
        <v>41</v>
      </c>
      <c r="T136" s="287" t="e">
        <f>$A136</f>
        <v>#N/A</v>
      </c>
      <c r="U136" s="287">
        <v>1</v>
      </c>
      <c r="V136" s="287" t="e">
        <f>$A136</f>
        <v>#N/A</v>
      </c>
      <c r="W136" s="449"/>
      <c r="X136" s="307"/>
      <c r="Y136" s="307"/>
      <c r="Z136" s="307"/>
      <c r="AA136" s="307"/>
      <c r="AB136" s="307"/>
      <c r="AC136" s="307"/>
      <c r="AD136" s="450"/>
      <c r="AE136" s="450"/>
      <c r="AF136" s="450"/>
      <c r="AH136" s="280" t="e">
        <f>IF(AND(T136&gt;16,P136&gt;=6200),"1",LOOKUP(T136,Y$5:AO$5,Y$6:AO$6))</f>
        <v>#N/A</v>
      </c>
      <c r="AI136" s="280" t="e">
        <f>LOOKUP(Q136,Y$8:AD$8,Y$9:AD$9)</f>
        <v>#N/A</v>
      </c>
      <c r="AJ136" s="404">
        <v>505</v>
      </c>
      <c r="AK136" s="231"/>
    </row>
    <row r="137" spans="1:37" s="280" customFormat="1" ht="13.2" hidden="1" customHeight="1" x14ac:dyDescent="0.35">
      <c r="A137" s="231"/>
      <c r="B137" s="404"/>
      <c r="C137" s="451" t="str">
        <f>VLOOKUP(B136,Уч!$A$2:$L$34,5,FALSE)</f>
        <v xml:space="preserve">Кемеровская область  </v>
      </c>
      <c r="D137" s="444" t="str">
        <f>VLOOKUP(B136,Уч!$A$2:$L$34,4,FALSE)</f>
        <v>МС</v>
      </c>
      <c r="E137" s="509" t="s">
        <v>25</v>
      </c>
      <c r="F137" s="453">
        <f>VLOOKUP($B136,'100 м 1'!$C$18:$I$87,6,FALSE)</f>
        <v>0.1</v>
      </c>
      <c r="G137" s="476" t="e">
        <f>VLOOKUP($B136,'длина 2 '!$C$16:$O$54,12,FALSE)</f>
        <v>#N/A</v>
      </c>
      <c r="H137" s="473"/>
      <c r="I137" s="476"/>
      <c r="J137" s="477"/>
      <c r="K137" s="476">
        <f>VLOOKUP($B136,'1cб_р'!$C$17:$I$67,6,FALSE)</f>
        <v>-1.5</v>
      </c>
      <c r="L137" s="476"/>
      <c r="M137" s="476"/>
      <c r="N137" s="473"/>
      <c r="O137" s="473"/>
      <c r="P137" s="448"/>
      <c r="Q137" s="456"/>
      <c r="R137" s="404" t="e">
        <f>CONCATENATE(AH136,"+",AI136,"+",5)</f>
        <v>#N/A</v>
      </c>
      <c r="S137" s="404">
        <f>B136</f>
        <v>41</v>
      </c>
      <c r="T137" s="287" t="e">
        <f>$A136</f>
        <v>#N/A</v>
      </c>
      <c r="U137" s="287">
        <v>2</v>
      </c>
      <c r="V137" s="287" t="e">
        <f>$A136</f>
        <v>#N/A</v>
      </c>
      <c r="W137" s="449"/>
      <c r="X137" s="307"/>
      <c r="Y137" s="307"/>
      <c r="Z137" s="307"/>
      <c r="AA137" s="307"/>
      <c r="AB137" s="307"/>
      <c r="AC137" s="307"/>
      <c r="AD137" s="450"/>
      <c r="AE137" s="450"/>
      <c r="AF137" s="450"/>
      <c r="AH137" s="231"/>
      <c r="AI137" s="231"/>
      <c r="AJ137" s="404">
        <v>505</v>
      </c>
      <c r="AK137" s="231"/>
    </row>
    <row r="138" spans="1:37" s="280" customFormat="1" ht="13.2" hidden="1" customHeight="1" x14ac:dyDescent="0.35">
      <c r="A138" s="231"/>
      <c r="B138" s="404"/>
      <c r="C138" s="457" t="str">
        <f>VLOOKUP(B136,Уч!$A$2:$L$34,7,FALSE)</f>
        <v>ГБФСУ КО "СШОР по легкой атлетике им. В.А.Савенкова", ГАУ КО "ЦП ССК"</v>
      </c>
      <c r="D138" s="444"/>
      <c r="E138" s="509" t="s">
        <v>29</v>
      </c>
      <c r="F138" s="458">
        <f>VLOOKUP($B136,'100 м 1'!$C$18:$I$87,7,FALSE)</f>
        <v>795</v>
      </c>
      <c r="G138" s="473" t="e">
        <f>VLOOKUP($B136,'длина 2 '!$C$16:$O$54,13,FALSE)</f>
        <v>#N/A</v>
      </c>
      <c r="H138" s="473" t="e">
        <f>VLOOKUP($B136,'ядро 2'!$C$16:$K$60,9,FALSE)</f>
        <v>#N/A</v>
      </c>
      <c r="I138" s="473">
        <f>VLOOKUP($B136,'высота 2'!$C$16:$AF$57,30,)</f>
        <v>0</v>
      </c>
      <c r="J138" s="479">
        <f>VLOOKUP($B136,'4_р'!$C$17:$H$73,6,FALSE)</f>
        <v>704</v>
      </c>
      <c r="K138" s="473">
        <f>VLOOKUP($B136,'1cб_р'!$C$17:$I$67,7,FALSE)</f>
        <v>719</v>
      </c>
      <c r="L138" s="473">
        <f>VLOOKUP($B136,Дс_р!$C$16:$K$70,9,FALSE)</f>
        <v>532</v>
      </c>
      <c r="M138" s="473">
        <f>VLOOKUP($B136,Ш_р!$C$15:$AF$69,30,FALSE)</f>
        <v>702</v>
      </c>
      <c r="N138" s="473">
        <f>VLOOKUP($B136,К_р!$C$15:$K$68,9,FALSE)</f>
        <v>531</v>
      </c>
      <c r="O138" s="473">
        <f>VLOOKUP($B136,'15_р'!$C$17:$H$86,6,FALSE)</f>
        <v>602</v>
      </c>
      <c r="P138" s="448"/>
      <c r="Q138" s="372"/>
      <c r="R138" s="372"/>
      <c r="S138" s="404">
        <f>B136</f>
        <v>41</v>
      </c>
      <c r="T138" s="287" t="e">
        <f>$A136</f>
        <v>#N/A</v>
      </c>
      <c r="U138" s="287">
        <v>3</v>
      </c>
      <c r="V138" s="287" t="e">
        <f>$A136</f>
        <v>#N/A</v>
      </c>
      <c r="W138" s="449"/>
      <c r="X138" s="307"/>
      <c r="Y138" s="307"/>
      <c r="Z138" s="307"/>
      <c r="AA138" s="307"/>
      <c r="AB138" s="307"/>
      <c r="AC138" s="307"/>
      <c r="AD138" s="450"/>
      <c r="AE138" s="450"/>
      <c r="AF138" s="450"/>
      <c r="AH138" s="231"/>
      <c r="AI138" s="231"/>
      <c r="AJ138" s="404">
        <v>505</v>
      </c>
      <c r="AK138" s="231"/>
    </row>
    <row r="139" spans="1:37" s="280" customFormat="1" ht="13.2" hidden="1" customHeight="1" x14ac:dyDescent="0.35">
      <c r="A139" s="231"/>
      <c r="B139" s="404"/>
      <c r="C139" s="451" t="str">
        <f>VLOOKUP(B136,Уч!$A$2:$L$34,11,FALSE)</f>
        <v>Хайлов С.Н., Фомичев В.Н.</v>
      </c>
      <c r="D139" s="444"/>
      <c r="E139" s="509" t="s">
        <v>276</v>
      </c>
      <c r="F139" s="458">
        <f>F138</f>
        <v>795</v>
      </c>
      <c r="G139" s="473" t="e">
        <f>F139+G138</f>
        <v>#N/A</v>
      </c>
      <c r="H139" s="473" t="e">
        <f>G139+H138</f>
        <v>#N/A</v>
      </c>
      <c r="I139" s="473" t="e">
        <f>H139+I138</f>
        <v>#N/A</v>
      </c>
      <c r="J139" s="479" t="e">
        <f>SUM($F138:J138)</f>
        <v>#N/A</v>
      </c>
      <c r="K139" s="473" t="e">
        <f>SUM($F138:$K138)</f>
        <v>#N/A</v>
      </c>
      <c r="L139" s="473" t="e">
        <f>K139+L138</f>
        <v>#N/A</v>
      </c>
      <c r="M139" s="473" t="e">
        <f>L139+M138</f>
        <v>#N/A</v>
      </c>
      <c r="N139" s="473" t="e">
        <f>SUM($F138:$N138)</f>
        <v>#N/A</v>
      </c>
      <c r="O139" s="473" t="e">
        <f>SUM($F138:$O138)</f>
        <v>#N/A</v>
      </c>
      <c r="P139" s="448"/>
      <c r="Q139" s="372"/>
      <c r="R139" s="372"/>
      <c r="S139" s="404">
        <f>B136</f>
        <v>41</v>
      </c>
      <c r="T139" s="287" t="e">
        <f>$A136</f>
        <v>#N/A</v>
      </c>
      <c r="U139" s="287">
        <v>4</v>
      </c>
      <c r="V139" s="287" t="e">
        <f>$A136</f>
        <v>#N/A</v>
      </c>
      <c r="W139" s="372">
        <f t="shared" ref="W139:AF139" si="24">F139</f>
        <v>795</v>
      </c>
      <c r="X139" s="372" t="e">
        <f t="shared" si="24"/>
        <v>#N/A</v>
      </c>
      <c r="Y139" s="372" t="e">
        <f t="shared" si="24"/>
        <v>#N/A</v>
      </c>
      <c r="Z139" s="372" t="e">
        <f t="shared" si="24"/>
        <v>#N/A</v>
      </c>
      <c r="AA139" s="372" t="e">
        <f t="shared" si="24"/>
        <v>#N/A</v>
      </c>
      <c r="AB139" s="372" t="e">
        <f t="shared" si="24"/>
        <v>#N/A</v>
      </c>
      <c r="AC139" s="372" t="e">
        <f t="shared" si="24"/>
        <v>#N/A</v>
      </c>
      <c r="AD139" s="372" t="e">
        <f t="shared" si="24"/>
        <v>#N/A</v>
      </c>
      <c r="AE139" s="372" t="e">
        <f t="shared" si="24"/>
        <v>#N/A</v>
      </c>
      <c r="AF139" s="372" t="e">
        <f t="shared" si="24"/>
        <v>#N/A</v>
      </c>
      <c r="AH139" s="231"/>
      <c r="AI139" s="231"/>
      <c r="AJ139" s="404">
        <v>505</v>
      </c>
      <c r="AK139" s="231"/>
    </row>
    <row r="140" spans="1:37" s="280" customFormat="1" ht="13.2" hidden="1" customHeight="1" thickBot="1" x14ac:dyDescent="0.3">
      <c r="A140" s="460"/>
      <c r="B140" s="461"/>
      <c r="C140" s="462">
        <f>VLOOKUP(B136,Уч!$A$2:$L$34,12,FALSE)</f>
        <v>0</v>
      </c>
      <c r="D140" s="467"/>
      <c r="E140" s="510" t="s">
        <v>59</v>
      </c>
      <c r="F140" s="464" t="e">
        <f>RANK(F139,$W$19:$W$150,0)</f>
        <v>#N/A</v>
      </c>
      <c r="G140" s="481" t="e">
        <f>RANK(G139,$X$19:$X$150,0)</f>
        <v>#N/A</v>
      </c>
      <c r="H140" s="481" t="e">
        <f>RANK(H139,$Y$19:$Y$150,0)</f>
        <v>#N/A</v>
      </c>
      <c r="I140" s="481" t="e">
        <f>RANK(I139,$Z$19:$Z$150,0)</f>
        <v>#N/A</v>
      </c>
      <c r="J140" s="482" t="e">
        <f>RANK(J139,$AA$19:$AA$150,0)</f>
        <v>#N/A</v>
      </c>
      <c r="K140" s="481" t="e">
        <f>RANK(K139,$AB$19:$AB$150,0)</f>
        <v>#N/A</v>
      </c>
      <c r="L140" s="481" t="e">
        <f>RANK(L139,$AC$19:$AC$150,0)</f>
        <v>#N/A</v>
      </c>
      <c r="M140" s="481" t="e">
        <f>RANK(M139,$AD$19:$AD$150,0)</f>
        <v>#N/A</v>
      </c>
      <c r="N140" s="481" t="e">
        <f>RANK(N139,$AE$19:$AE$150,0)</f>
        <v>#N/A</v>
      </c>
      <c r="O140" s="481" t="e">
        <f>RANK(O139,$AF$19:$AF$150,0)</f>
        <v>#N/A</v>
      </c>
      <c r="P140" s="466"/>
      <c r="Q140" s="442"/>
      <c r="R140" s="442"/>
      <c r="S140" s="205">
        <f>B136</f>
        <v>41</v>
      </c>
      <c r="T140" s="287" t="e">
        <f>$A136</f>
        <v>#N/A</v>
      </c>
      <c r="U140" s="287">
        <v>5</v>
      </c>
      <c r="V140" s="287" t="e">
        <f>$A136</f>
        <v>#N/A</v>
      </c>
      <c r="W140" s="449"/>
      <c r="X140" s="307"/>
      <c r="Y140" s="307"/>
      <c r="Z140" s="307"/>
      <c r="AA140" s="307"/>
      <c r="AB140" s="307"/>
      <c r="AC140" s="307"/>
      <c r="AD140" s="450"/>
      <c r="AE140" s="450"/>
      <c r="AF140" s="450"/>
      <c r="AH140" s="231"/>
      <c r="AI140" s="231"/>
      <c r="AJ140" s="404">
        <v>505</v>
      </c>
      <c r="AK140" s="231"/>
    </row>
    <row r="141" spans="1:37" s="280" customFormat="1" ht="13.2" hidden="1" customHeight="1" thickTop="1" x14ac:dyDescent="0.35">
      <c r="A141" s="231" t="e">
        <f>RANK(P141,$P$16:$P$150,0)</f>
        <v>#N/A</v>
      </c>
      <c r="B141" s="404">
        <v>32</v>
      </c>
      <c r="C141" s="443" t="e">
        <f>VLOOKUP(B141,Уч!$A$2:$L$34,2,FALSE)</f>
        <v>#N/A</v>
      </c>
      <c r="D141" s="444" t="e">
        <f>VLOOKUP(B141,Уч!$A$2:$L$34,3,FALSE)</f>
        <v>#N/A</v>
      </c>
      <c r="E141" s="509" t="s">
        <v>19</v>
      </c>
      <c r="F141" s="445">
        <f>VLOOKUP($B141,'100 м 1'!$C$18:$I$87,5,FALSE)</f>
        <v>11.15</v>
      </c>
      <c r="G141" s="446" t="e">
        <f>VLOOKUP($B141,'длина 2 '!$C$16:$O$54,11,FALSE)</f>
        <v>#N/A</v>
      </c>
      <c r="H141" s="446" t="e">
        <f>VLOOKUP($B141,'ядро 2'!$C$16:$K$60,8,FALSE)</f>
        <v>#N/A</v>
      </c>
      <c r="I141" s="446" t="e">
        <f>VLOOKUP($B141,'высота 2'!$C$16:$AF$57,29,FALSE)</f>
        <v>#N/A</v>
      </c>
      <c r="J141" s="447">
        <f>VLOOKUP($B141,'4_р'!$C$17:$H$73,5,FALSE)</f>
        <v>0</v>
      </c>
      <c r="K141" s="446" t="e">
        <f>VLOOKUP($B141,'1cб_р'!$C$17:$I$67,5,FALSE)</f>
        <v>#N/A</v>
      </c>
      <c r="L141" s="446" t="e">
        <f>VLOOKUP($B141,Дс_р!$C$16:$K$70,8,FALSE)</f>
        <v>#N/A</v>
      </c>
      <c r="M141" s="446" t="e">
        <f>VLOOKUP($B141,Ш_р!$C$15:$AF$69,29,FALSE)</f>
        <v>#N/A</v>
      </c>
      <c r="N141" s="446" t="e">
        <f>VLOOKUP($B141,К_р!$C$15:$K$68,8,FALSE)</f>
        <v>#N/A</v>
      </c>
      <c r="O141" s="404">
        <f>VLOOKUP($B141,'15_р'!$C$17:$H$86,5,FALSE)</f>
        <v>0</v>
      </c>
      <c r="P141" s="491" t="e">
        <f>SUM(F143:O143)</f>
        <v>#N/A</v>
      </c>
      <c r="Q141" s="231" t="e">
        <f>LOOKUP(P141,Y$1:AH$1,Y$2:AH$2)</f>
        <v>#N/A</v>
      </c>
      <c r="R141" s="404" t="e">
        <f>AH141+AI141+5</f>
        <v>#N/A</v>
      </c>
      <c r="S141" s="404">
        <f>B141</f>
        <v>32</v>
      </c>
      <c r="T141" s="287" t="e">
        <f>$A141</f>
        <v>#N/A</v>
      </c>
      <c r="U141" s="287">
        <v>1</v>
      </c>
      <c r="V141" s="287" t="e">
        <f>$A141</f>
        <v>#N/A</v>
      </c>
      <c r="W141" s="449"/>
      <c r="X141" s="307"/>
      <c r="Y141" s="307"/>
      <c r="Z141" s="307"/>
      <c r="AA141" s="307"/>
      <c r="AB141" s="307"/>
      <c r="AC141" s="307"/>
      <c r="AD141" s="450"/>
      <c r="AE141" s="450"/>
      <c r="AF141" s="450"/>
      <c r="AH141" s="280" t="e">
        <f>IF(AND(T141&gt;16,P141&gt;=6200),"1",LOOKUP(T141,Y$5:AO$5,Y$6:AO$6))</f>
        <v>#N/A</v>
      </c>
      <c r="AI141" s="280" t="e">
        <f>LOOKUP(Q141,Y$8:AD$8,Y$9:AD$9)</f>
        <v>#N/A</v>
      </c>
      <c r="AJ141" s="404">
        <v>505</v>
      </c>
      <c r="AK141" s="231"/>
    </row>
    <row r="142" spans="1:37" s="280" customFormat="1" ht="13.2" hidden="1" customHeight="1" x14ac:dyDescent="0.35">
      <c r="A142" s="231"/>
      <c r="B142" s="404"/>
      <c r="C142" s="451" t="e">
        <f>VLOOKUP(B141,Уч!$A$2:$L$34,5,FALSE)</f>
        <v>#N/A</v>
      </c>
      <c r="D142" s="444" t="e">
        <f>VLOOKUP(B141,Уч!$A$2:$L$34,4,FALSE)</f>
        <v>#N/A</v>
      </c>
      <c r="E142" s="509" t="s">
        <v>25</v>
      </c>
      <c r="F142" s="453">
        <f>VLOOKUP($B141,'100 м 1'!$C$18:$I$87,6,FALSE)</f>
        <v>1</v>
      </c>
      <c r="G142" s="454" t="e">
        <f>VLOOKUP($B141,'длина 2 '!$C$16:$O$54,12,FALSE)</f>
        <v>#N/A</v>
      </c>
      <c r="H142" s="404"/>
      <c r="I142" s="454"/>
      <c r="J142" s="455"/>
      <c r="K142" s="454" t="e">
        <f>VLOOKUP($B141,'1cб_р'!$C$17:$I$67,6,FALSE)</f>
        <v>#N/A</v>
      </c>
      <c r="L142" s="454"/>
      <c r="M142" s="454"/>
      <c r="N142" s="404"/>
      <c r="O142" s="404"/>
      <c r="P142" s="448"/>
      <c r="Q142" s="456"/>
      <c r="R142" s="404" t="e">
        <f>CONCATENATE(AH141,"+",AI141,"+",5)</f>
        <v>#N/A</v>
      </c>
      <c r="S142" s="404">
        <f>B141</f>
        <v>32</v>
      </c>
      <c r="T142" s="287" t="e">
        <f>$A141</f>
        <v>#N/A</v>
      </c>
      <c r="U142" s="287">
        <v>2</v>
      </c>
      <c r="V142" s="287" t="e">
        <f>$A141</f>
        <v>#N/A</v>
      </c>
      <c r="W142" s="449"/>
      <c r="X142" s="307"/>
      <c r="Y142" s="307"/>
      <c r="Z142" s="307"/>
      <c r="AA142" s="307"/>
      <c r="AB142" s="307"/>
      <c r="AC142" s="307"/>
      <c r="AD142" s="450"/>
      <c r="AE142" s="450"/>
      <c r="AF142" s="450"/>
      <c r="AH142" s="231"/>
      <c r="AI142" s="231"/>
      <c r="AJ142" s="404">
        <v>505</v>
      </c>
      <c r="AK142" s="231"/>
    </row>
    <row r="143" spans="1:37" s="280" customFormat="1" ht="13.2" hidden="1" customHeight="1" x14ac:dyDescent="0.35">
      <c r="A143" s="231"/>
      <c r="B143" s="404"/>
      <c r="C143" s="457" t="e">
        <f>VLOOKUP(B141,Уч!$A$2:$L$34,7,FALSE)</f>
        <v>#N/A</v>
      </c>
      <c r="D143" s="444"/>
      <c r="E143" s="509" t="s">
        <v>29</v>
      </c>
      <c r="F143" s="458">
        <f>VLOOKUP($B141,'100 м 1'!$C$18:$I$87,7,FALSE)</f>
        <v>827</v>
      </c>
      <c r="G143" s="404" t="e">
        <f>VLOOKUP($B141,'длина 2 '!$C$16:$O$54,13,FALSE)</f>
        <v>#N/A</v>
      </c>
      <c r="H143" s="404" t="e">
        <f>VLOOKUP($B141,'ядро 2'!$C$16:$K$60,9,FALSE)</f>
        <v>#N/A</v>
      </c>
      <c r="I143" s="404" t="e">
        <f>VLOOKUP($B141,'высота 2'!$C$16:$AF$57,30,)</f>
        <v>#N/A</v>
      </c>
      <c r="J143" s="459">
        <f>VLOOKUP($B141,'4_р'!$C$17:$H$73,6,FALSE)</f>
        <v>0</v>
      </c>
      <c r="K143" s="404" t="e">
        <f>VLOOKUP($B141,'1cб_р'!$C$17:$I$67,7,FALSE)</f>
        <v>#N/A</v>
      </c>
      <c r="L143" s="404" t="e">
        <f>VLOOKUP($B141,Дс_р!$C$16:$K$70,9,FALSE)</f>
        <v>#N/A</v>
      </c>
      <c r="M143" s="404" t="e">
        <f>VLOOKUP($B141,Ш_р!$C$15:$AF$69,30,FALSE)</f>
        <v>#N/A</v>
      </c>
      <c r="N143" s="404" t="e">
        <f>VLOOKUP($B141,К_р!$C$15:$K$68,9,FALSE)</f>
        <v>#N/A</v>
      </c>
      <c r="O143" s="404">
        <f>VLOOKUP($B141,'15_р'!$C$17:$H$86,6,FALSE)</f>
        <v>0</v>
      </c>
      <c r="P143" s="448"/>
      <c r="Q143" s="372"/>
      <c r="R143" s="372"/>
      <c r="S143" s="404">
        <f>B141</f>
        <v>32</v>
      </c>
      <c r="T143" s="287" t="e">
        <f>$A141</f>
        <v>#N/A</v>
      </c>
      <c r="U143" s="287">
        <v>3</v>
      </c>
      <c r="V143" s="287" t="e">
        <f>$A141</f>
        <v>#N/A</v>
      </c>
      <c r="W143" s="449"/>
      <c r="X143" s="307"/>
      <c r="Y143" s="307"/>
      <c r="Z143" s="307"/>
      <c r="AA143" s="307"/>
      <c r="AB143" s="307"/>
      <c r="AC143" s="307"/>
      <c r="AD143" s="450"/>
      <c r="AE143" s="450"/>
      <c r="AF143" s="450"/>
      <c r="AH143" s="231"/>
      <c r="AI143" s="231"/>
      <c r="AJ143" s="404">
        <v>505</v>
      </c>
      <c r="AK143" s="231"/>
    </row>
    <row r="144" spans="1:37" s="280" customFormat="1" ht="13.2" hidden="1" customHeight="1" x14ac:dyDescent="0.35">
      <c r="A144" s="231"/>
      <c r="B144" s="404"/>
      <c r="C144" s="451" t="e">
        <f>VLOOKUP(B141,Уч!$A$2:$L$34,11,FALSE)</f>
        <v>#N/A</v>
      </c>
      <c r="D144" s="444"/>
      <c r="E144" s="509" t="s">
        <v>276</v>
      </c>
      <c r="F144" s="458">
        <f>F143</f>
        <v>827</v>
      </c>
      <c r="G144" s="404" t="e">
        <f>F144+G143</f>
        <v>#N/A</v>
      </c>
      <c r="H144" s="404" t="e">
        <f>G144+H143</f>
        <v>#N/A</v>
      </c>
      <c r="I144" s="404" t="e">
        <f>H144+I143</f>
        <v>#N/A</v>
      </c>
      <c r="J144" s="459" t="e">
        <f>SUM($F143:J143)</f>
        <v>#N/A</v>
      </c>
      <c r="K144" s="404" t="e">
        <f>SUM($F143:$K143)</f>
        <v>#N/A</v>
      </c>
      <c r="L144" s="404" t="e">
        <f>K144+L143</f>
        <v>#N/A</v>
      </c>
      <c r="M144" s="404" t="e">
        <f>L144+M143</f>
        <v>#N/A</v>
      </c>
      <c r="N144" s="404" t="e">
        <f>SUM($F143:$N143)</f>
        <v>#N/A</v>
      </c>
      <c r="O144" s="404" t="e">
        <f>SUM($F143:$O143)</f>
        <v>#N/A</v>
      </c>
      <c r="P144" s="448"/>
      <c r="Q144" s="372"/>
      <c r="R144" s="372"/>
      <c r="S144" s="404">
        <f>B141</f>
        <v>32</v>
      </c>
      <c r="T144" s="287" t="e">
        <f>$A141</f>
        <v>#N/A</v>
      </c>
      <c r="U144" s="287">
        <v>4</v>
      </c>
      <c r="V144" s="287" t="e">
        <f>$A141</f>
        <v>#N/A</v>
      </c>
      <c r="W144" s="372">
        <f t="shared" ref="W144:AF144" si="25">F144</f>
        <v>827</v>
      </c>
      <c r="X144" s="372" t="e">
        <f t="shared" si="25"/>
        <v>#N/A</v>
      </c>
      <c r="Y144" s="372" t="e">
        <f t="shared" si="25"/>
        <v>#N/A</v>
      </c>
      <c r="Z144" s="372" t="e">
        <f t="shared" si="25"/>
        <v>#N/A</v>
      </c>
      <c r="AA144" s="372" t="e">
        <f t="shared" si="25"/>
        <v>#N/A</v>
      </c>
      <c r="AB144" s="372" t="e">
        <f t="shared" si="25"/>
        <v>#N/A</v>
      </c>
      <c r="AC144" s="372" t="e">
        <f t="shared" si="25"/>
        <v>#N/A</v>
      </c>
      <c r="AD144" s="372" t="e">
        <f t="shared" si="25"/>
        <v>#N/A</v>
      </c>
      <c r="AE144" s="372" t="e">
        <f t="shared" si="25"/>
        <v>#N/A</v>
      </c>
      <c r="AF144" s="372" t="e">
        <f t="shared" si="25"/>
        <v>#N/A</v>
      </c>
      <c r="AH144" s="231"/>
      <c r="AI144" s="231"/>
      <c r="AJ144" s="404">
        <v>505</v>
      </c>
      <c r="AK144" s="231"/>
    </row>
    <row r="145" spans="1:37" s="280" customFormat="1" ht="13.2" hidden="1" customHeight="1" thickBot="1" x14ac:dyDescent="0.3">
      <c r="A145" s="460"/>
      <c r="B145" s="461"/>
      <c r="C145" s="462" t="e">
        <f>VLOOKUP(B141,Уч!$A$2:$L$34,12,FALSE)</f>
        <v>#N/A</v>
      </c>
      <c r="D145" s="467"/>
      <c r="E145" s="510" t="s">
        <v>59</v>
      </c>
      <c r="F145" s="464" t="e">
        <f>RANK(F144,$W$19:$W$150,0)</f>
        <v>#N/A</v>
      </c>
      <c r="G145" s="461" t="e">
        <f>RANK(G144,$X$19:$X$150,0)</f>
        <v>#N/A</v>
      </c>
      <c r="H145" s="461" t="e">
        <f>RANK(H144,$Y$19:$Y$150,0)</f>
        <v>#N/A</v>
      </c>
      <c r="I145" s="461" t="e">
        <f>RANK(I144,$Z$19:$Z$150,0)</f>
        <v>#N/A</v>
      </c>
      <c r="J145" s="465" t="e">
        <f>RANK(J144,$AA$19:$AA$150,0)</f>
        <v>#N/A</v>
      </c>
      <c r="K145" s="461" t="e">
        <f>RANK(K144,$AB$19:$AB$150,0)</f>
        <v>#N/A</v>
      </c>
      <c r="L145" s="461" t="e">
        <f>RANK(L144,$AC$19:$AC$150,0)</f>
        <v>#N/A</v>
      </c>
      <c r="M145" s="461" t="e">
        <f>RANK(M144,$AD$19:$AD$150,0)</f>
        <v>#N/A</v>
      </c>
      <c r="N145" s="461" t="e">
        <f>RANK(N144,$AE$19:$AE$150,0)</f>
        <v>#N/A</v>
      </c>
      <c r="O145" s="461" t="e">
        <f>RANK(O144,$AF$19:$AF$150,0)</f>
        <v>#N/A</v>
      </c>
      <c r="P145" s="466"/>
      <c r="Q145" s="442"/>
      <c r="R145" s="442"/>
      <c r="S145" s="205">
        <f>B141</f>
        <v>32</v>
      </c>
      <c r="T145" s="287" t="e">
        <f>$A141</f>
        <v>#N/A</v>
      </c>
      <c r="U145" s="287">
        <v>5</v>
      </c>
      <c r="V145" s="287" t="e">
        <f>$A141</f>
        <v>#N/A</v>
      </c>
      <c r="W145" s="449"/>
      <c r="X145" s="307"/>
      <c r="Y145" s="307"/>
      <c r="Z145" s="307"/>
      <c r="AA145" s="307"/>
      <c r="AB145" s="307"/>
      <c r="AC145" s="307"/>
      <c r="AD145" s="450"/>
      <c r="AE145" s="450"/>
      <c r="AF145" s="450"/>
      <c r="AH145" s="231"/>
      <c r="AI145" s="231"/>
      <c r="AJ145" s="404">
        <v>505</v>
      </c>
      <c r="AK145" s="231"/>
    </row>
    <row r="146" spans="1:37" s="280" customFormat="1" ht="13.2" hidden="1" customHeight="1" thickTop="1" x14ac:dyDescent="0.35">
      <c r="A146" s="231" t="e">
        <f>RANK(P146,$P$16:$P$150,0)</f>
        <v>#N/A</v>
      </c>
      <c r="B146" s="404">
        <v>10</v>
      </c>
      <c r="C146" s="443" t="e">
        <f>VLOOKUP(B146,Уч!$A$2:$L$34,2,FALSE)</f>
        <v>#N/A</v>
      </c>
      <c r="D146" s="444" t="e">
        <f>VLOOKUP(B146,Уч!$A$2:$L$34,3,FALSE)</f>
        <v>#N/A</v>
      </c>
      <c r="E146" s="509" t="s">
        <v>19</v>
      </c>
      <c r="F146" s="445" t="e">
        <f>VLOOKUP($B146,'100 м 1'!$C$18:$I$87,5,FALSE)</f>
        <v>#N/A</v>
      </c>
      <c r="G146" s="446" t="e">
        <f>VLOOKUP($B146,'длина 2 '!$C$16:$O$54,11,FALSE)</f>
        <v>#N/A</v>
      </c>
      <c r="H146" s="446" t="e">
        <f>VLOOKUP($B146,'ядро 2'!$C$16:$K$60,8,FALSE)</f>
        <v>#N/A</v>
      </c>
      <c r="I146" s="446" t="e">
        <f>VLOOKUP($B146,'высота 2'!$C$16:$AF$57,29,FALSE)</f>
        <v>#N/A</v>
      </c>
      <c r="J146" s="447" t="e">
        <f>VLOOKUP($B146,'4_р'!$C$17:$H$73,5,FALSE)</f>
        <v>#N/A</v>
      </c>
      <c r="K146" s="446" t="e">
        <f>VLOOKUP($B146,'1cб_р'!$C$17:$I$67,5,FALSE)</f>
        <v>#N/A</v>
      </c>
      <c r="L146" s="446" t="e">
        <f>VLOOKUP($B146,Дс_р!$C$16:$K$70,8,FALSE)</f>
        <v>#N/A</v>
      </c>
      <c r="M146" s="446" t="e">
        <f>VLOOKUP($B146,Ш_р!$C$15:$AF$69,29,FALSE)</f>
        <v>#N/A</v>
      </c>
      <c r="N146" s="446">
        <f>VLOOKUP($B146,К_р!$C$15:$K$68,8,FALSE)</f>
        <v>53.38</v>
      </c>
      <c r="O146" s="404" t="e">
        <f>VLOOKUP($B146,'15_р'!$C$17:$H$86,5,FALSE)</f>
        <v>#N/A</v>
      </c>
      <c r="P146" s="491" t="e">
        <f>SUM(F148:O148)</f>
        <v>#N/A</v>
      </c>
      <c r="Q146" s="231" t="e">
        <f>LOOKUP(P146,Y$1:AH$1,Y$2:AH$2)</f>
        <v>#N/A</v>
      </c>
      <c r="R146" s="404" t="e">
        <f>AH146+AI146+5</f>
        <v>#N/A</v>
      </c>
      <c r="S146" s="404">
        <f>B146</f>
        <v>10</v>
      </c>
      <c r="T146" s="287" t="e">
        <f>$A146</f>
        <v>#N/A</v>
      </c>
      <c r="U146" s="287">
        <v>1</v>
      </c>
      <c r="V146" s="287" t="e">
        <f>$A146</f>
        <v>#N/A</v>
      </c>
      <c r="W146" s="449"/>
      <c r="X146" s="307"/>
      <c r="Y146" s="307"/>
      <c r="Z146" s="307"/>
      <c r="AA146" s="307"/>
      <c r="AB146" s="307"/>
      <c r="AC146" s="307"/>
      <c r="AD146" s="450"/>
      <c r="AE146" s="450"/>
      <c r="AF146" s="450"/>
      <c r="AH146" s="280" t="e">
        <f>IF(AND(T146&gt;16,P146&gt;=6200),"1",LOOKUP(T146,Y$5:AO$5,Y$6:AO$6))</f>
        <v>#N/A</v>
      </c>
      <c r="AI146" s="280" t="e">
        <f>LOOKUP(Q146,Y$8:AD$8,Y$9:AD$9)</f>
        <v>#N/A</v>
      </c>
      <c r="AJ146" s="404">
        <v>506</v>
      </c>
      <c r="AK146" s="231"/>
    </row>
    <row r="147" spans="1:37" s="280" customFormat="1" ht="13.2" hidden="1" customHeight="1" x14ac:dyDescent="0.35">
      <c r="A147" s="231"/>
      <c r="B147" s="404"/>
      <c r="C147" s="451" t="e">
        <f>VLOOKUP(B146,Уч!$A$2:$L$34,5,FALSE)</f>
        <v>#N/A</v>
      </c>
      <c r="D147" s="444" t="e">
        <f>VLOOKUP(B146,Уч!$A$2:$L$34,4,FALSE)</f>
        <v>#N/A</v>
      </c>
      <c r="E147" s="509" t="s">
        <v>25</v>
      </c>
      <c r="F147" s="453" t="e">
        <f>VLOOKUP($B146,'100 м 1'!$C$18:$I$87,6,FALSE)</f>
        <v>#N/A</v>
      </c>
      <c r="G147" s="454" t="e">
        <f>VLOOKUP($B146,'длина 2 '!$C$16:$O$54,12,FALSE)</f>
        <v>#N/A</v>
      </c>
      <c r="H147" s="404"/>
      <c r="I147" s="454"/>
      <c r="J147" s="455"/>
      <c r="K147" s="454" t="e">
        <f>VLOOKUP($B146,'1cб_р'!$C$17:$I$67,6,FALSE)</f>
        <v>#N/A</v>
      </c>
      <c r="L147" s="454"/>
      <c r="M147" s="454"/>
      <c r="N147" s="404"/>
      <c r="O147" s="404"/>
      <c r="P147" s="448"/>
      <c r="Q147" s="456"/>
      <c r="R147" s="404" t="e">
        <f>CONCATENATE(AH146,"+",AI146,"+",5)</f>
        <v>#N/A</v>
      </c>
      <c r="S147" s="404">
        <f>B146</f>
        <v>10</v>
      </c>
      <c r="T147" s="287" t="e">
        <f>$A146</f>
        <v>#N/A</v>
      </c>
      <c r="U147" s="287">
        <v>2</v>
      </c>
      <c r="V147" s="287" t="e">
        <f>$A146</f>
        <v>#N/A</v>
      </c>
      <c r="W147" s="449"/>
      <c r="X147" s="307"/>
      <c r="Y147" s="307"/>
      <c r="Z147" s="307"/>
      <c r="AA147" s="307"/>
      <c r="AB147" s="307"/>
      <c r="AC147" s="307"/>
      <c r="AD147" s="450"/>
      <c r="AE147" s="450"/>
      <c r="AF147" s="450"/>
      <c r="AH147" s="231"/>
      <c r="AI147" s="231"/>
      <c r="AJ147" s="404">
        <v>506</v>
      </c>
      <c r="AK147" s="231"/>
    </row>
    <row r="148" spans="1:37" s="280" customFormat="1" ht="13.2" hidden="1" customHeight="1" x14ac:dyDescent="0.35">
      <c r="A148" s="231"/>
      <c r="B148" s="404"/>
      <c r="C148" s="457" t="e">
        <f>VLOOKUP(B146,Уч!$A$2:$L$34,7,FALSE)</f>
        <v>#N/A</v>
      </c>
      <c r="D148" s="444"/>
      <c r="E148" s="509" t="s">
        <v>29</v>
      </c>
      <c r="F148" s="458" t="e">
        <f>VLOOKUP($B146,'100 м 1'!$C$18:$I$87,7,FALSE)</f>
        <v>#N/A</v>
      </c>
      <c r="G148" s="404" t="e">
        <f>VLOOKUP($B146,'длина 2 '!$C$16:$O$54,13,FALSE)</f>
        <v>#N/A</v>
      </c>
      <c r="H148" s="404" t="e">
        <f>VLOOKUP($B146,'ядро 2'!$C$16:$K$60,9,FALSE)</f>
        <v>#N/A</v>
      </c>
      <c r="I148" s="404" t="e">
        <f>VLOOKUP($B146,'высота 2'!$C$16:$AF$57,30,)</f>
        <v>#N/A</v>
      </c>
      <c r="J148" s="459" t="e">
        <f>VLOOKUP($B146,'4_р'!$C$17:$H$73,6,FALSE)</f>
        <v>#N/A</v>
      </c>
      <c r="K148" s="404" t="e">
        <f>VLOOKUP($B146,'1cб_р'!$C$17:$I$67,7,FALSE)</f>
        <v>#N/A</v>
      </c>
      <c r="L148" s="404" t="e">
        <f>VLOOKUP($B146,Дс_р!$C$16:$K$70,9,FALSE)</f>
        <v>#N/A</v>
      </c>
      <c r="M148" s="404" t="e">
        <f>VLOOKUP($B146,Ш_р!$C$15:$AF$69,30,FALSE)</f>
        <v>#N/A</v>
      </c>
      <c r="N148" s="404">
        <f>VLOOKUP($B146,К_р!$C$15:$K$68,9,FALSE)</f>
        <v>639</v>
      </c>
      <c r="O148" s="404" t="e">
        <f>VLOOKUP($B146,'15_р'!$C$17:$H$86,6,FALSE)</f>
        <v>#N/A</v>
      </c>
      <c r="P148" s="448"/>
      <c r="Q148" s="372"/>
      <c r="R148" s="372"/>
      <c r="S148" s="404">
        <f>B146</f>
        <v>10</v>
      </c>
      <c r="T148" s="287" t="e">
        <f>$A146</f>
        <v>#N/A</v>
      </c>
      <c r="U148" s="287">
        <v>3</v>
      </c>
      <c r="V148" s="287" t="e">
        <f>$A146</f>
        <v>#N/A</v>
      </c>
      <c r="W148" s="449"/>
      <c r="X148" s="307"/>
      <c r="Y148" s="307"/>
      <c r="Z148" s="307"/>
      <c r="AA148" s="307"/>
      <c r="AB148" s="307"/>
      <c r="AC148" s="307"/>
      <c r="AD148" s="450"/>
      <c r="AE148" s="450"/>
      <c r="AF148" s="450"/>
      <c r="AH148" s="231"/>
      <c r="AI148" s="231"/>
      <c r="AJ148" s="404">
        <v>506</v>
      </c>
      <c r="AK148" s="231"/>
    </row>
    <row r="149" spans="1:37" s="280" customFormat="1" ht="13.2" hidden="1" customHeight="1" x14ac:dyDescent="0.35">
      <c r="A149" s="231"/>
      <c r="B149" s="404"/>
      <c r="C149" s="451" t="e">
        <f>VLOOKUP(B146,Уч!$A$2:$L$34,11,FALSE)</f>
        <v>#N/A</v>
      </c>
      <c r="D149" s="444"/>
      <c r="E149" s="509" t="s">
        <v>276</v>
      </c>
      <c r="F149" s="458" t="e">
        <f>F148</f>
        <v>#N/A</v>
      </c>
      <c r="G149" s="404" t="e">
        <f>F149+G148</f>
        <v>#N/A</v>
      </c>
      <c r="H149" s="404" t="e">
        <f>G149+H148</f>
        <v>#N/A</v>
      </c>
      <c r="I149" s="404" t="e">
        <f>H149+I148</f>
        <v>#N/A</v>
      </c>
      <c r="J149" s="459" t="e">
        <f>SUM($F148:J148)</f>
        <v>#N/A</v>
      </c>
      <c r="K149" s="404" t="e">
        <f>SUM($F148:$K148)</f>
        <v>#N/A</v>
      </c>
      <c r="L149" s="404" t="e">
        <f>K149+L148</f>
        <v>#N/A</v>
      </c>
      <c r="M149" s="404" t="e">
        <f>L149+M148</f>
        <v>#N/A</v>
      </c>
      <c r="N149" s="404" t="e">
        <f>SUM($F148:$N148)</f>
        <v>#N/A</v>
      </c>
      <c r="O149" s="404" t="e">
        <f>SUM($F148:$O148)</f>
        <v>#N/A</v>
      </c>
      <c r="P149" s="448"/>
      <c r="Q149" s="372"/>
      <c r="R149" s="372"/>
      <c r="S149" s="404">
        <f>B146</f>
        <v>10</v>
      </c>
      <c r="T149" s="287" t="e">
        <f>$A146</f>
        <v>#N/A</v>
      </c>
      <c r="U149" s="287">
        <v>4</v>
      </c>
      <c r="V149" s="287" t="e">
        <f>$A146</f>
        <v>#N/A</v>
      </c>
      <c r="W149" s="372" t="e">
        <f t="shared" ref="W149:AF149" si="26">F149</f>
        <v>#N/A</v>
      </c>
      <c r="X149" s="372" t="e">
        <f t="shared" si="26"/>
        <v>#N/A</v>
      </c>
      <c r="Y149" s="372" t="e">
        <f t="shared" si="26"/>
        <v>#N/A</v>
      </c>
      <c r="Z149" s="372" t="e">
        <f t="shared" si="26"/>
        <v>#N/A</v>
      </c>
      <c r="AA149" s="372" t="e">
        <f t="shared" si="26"/>
        <v>#N/A</v>
      </c>
      <c r="AB149" s="372" t="e">
        <f t="shared" si="26"/>
        <v>#N/A</v>
      </c>
      <c r="AC149" s="372" t="e">
        <f t="shared" si="26"/>
        <v>#N/A</v>
      </c>
      <c r="AD149" s="372" t="e">
        <f t="shared" si="26"/>
        <v>#N/A</v>
      </c>
      <c r="AE149" s="372" t="e">
        <f t="shared" si="26"/>
        <v>#N/A</v>
      </c>
      <c r="AF149" s="372" t="e">
        <f t="shared" si="26"/>
        <v>#N/A</v>
      </c>
      <c r="AH149" s="231"/>
      <c r="AI149" s="231"/>
      <c r="AJ149" s="404">
        <v>506</v>
      </c>
      <c r="AK149" s="231"/>
    </row>
    <row r="150" spans="1:37" s="280" customFormat="1" ht="13.2" hidden="1" customHeight="1" thickBot="1" x14ac:dyDescent="0.3">
      <c r="A150" s="460"/>
      <c r="B150" s="461"/>
      <c r="C150" s="462" t="e">
        <f>VLOOKUP(B146,Уч!$A$2:$L$34,12,FALSE)</f>
        <v>#N/A</v>
      </c>
      <c r="D150" s="467"/>
      <c r="E150" s="510" t="s">
        <v>59</v>
      </c>
      <c r="F150" s="464" t="e">
        <f>RANK(F149,$W$19:$W$150,0)</f>
        <v>#N/A</v>
      </c>
      <c r="G150" s="461" t="e">
        <f>RANK(G149,$X$19:$X$150,0)</f>
        <v>#N/A</v>
      </c>
      <c r="H150" s="461" t="e">
        <f>RANK(H149,$Y$19:$Y$150,0)</f>
        <v>#N/A</v>
      </c>
      <c r="I150" s="461" t="e">
        <f>RANK(I149,$Z$19:$Z$150,0)</f>
        <v>#N/A</v>
      </c>
      <c r="J150" s="465" t="e">
        <f>RANK(J149,$AA$19:$AA$150,0)</f>
        <v>#N/A</v>
      </c>
      <c r="K150" s="461" t="e">
        <f>RANK(K149,$AB$19:$AB$150,0)</f>
        <v>#N/A</v>
      </c>
      <c r="L150" s="461" t="e">
        <f>RANK(L149,$AC$19:$AC$150,0)</f>
        <v>#N/A</v>
      </c>
      <c r="M150" s="461" t="e">
        <f>RANK(M149,$AD$19:$AD$150,0)</f>
        <v>#N/A</v>
      </c>
      <c r="N150" s="461" t="e">
        <f>RANK(N149,$AE$19:$AE$150,0)</f>
        <v>#N/A</v>
      </c>
      <c r="O150" s="461" t="e">
        <f>RANK(O149,$AF$19:$AF$150,0)</f>
        <v>#N/A</v>
      </c>
      <c r="P150" s="466"/>
      <c r="Q150" s="442"/>
      <c r="R150" s="442"/>
      <c r="S150" s="205">
        <f>B146</f>
        <v>10</v>
      </c>
      <c r="T150" s="287" t="e">
        <f>$A146</f>
        <v>#N/A</v>
      </c>
      <c r="U150" s="287">
        <v>5</v>
      </c>
      <c r="V150" s="287" t="e">
        <f>$A146</f>
        <v>#N/A</v>
      </c>
      <c r="W150" s="449"/>
      <c r="X150" s="307"/>
      <c r="Y150" s="307"/>
      <c r="Z150" s="307"/>
      <c r="AA150" s="307"/>
      <c r="AB150" s="307"/>
      <c r="AC150" s="307"/>
      <c r="AD150" s="450"/>
      <c r="AE150" s="450"/>
      <c r="AF150" s="450"/>
      <c r="AJ150" s="404">
        <v>506</v>
      </c>
      <c r="AK150" s="231"/>
    </row>
    <row r="151" spans="1:37" ht="13.2" customHeight="1" thickTop="1" x14ac:dyDescent="0.25"/>
    <row r="152" spans="1:37" ht="13.2" customHeight="1" x14ac:dyDescent="0.25"/>
    <row r="160" spans="1:37" ht="15.6" x14ac:dyDescent="0.25">
      <c r="C160" s="497" t="s">
        <v>87</v>
      </c>
      <c r="D160" s="498"/>
      <c r="E160" s="497"/>
      <c r="F160" s="499"/>
      <c r="G160" s="497"/>
      <c r="H160" s="497"/>
      <c r="I160" s="497"/>
      <c r="J160" s="498" t="s">
        <v>127</v>
      </c>
    </row>
    <row r="161" spans="3:10" x14ac:dyDescent="0.25">
      <c r="D161" s="41"/>
      <c r="G161" s="41"/>
      <c r="H161" s="41"/>
    </row>
    <row r="162" spans="3:10" ht="15.6" x14ac:dyDescent="0.25">
      <c r="C162" s="497"/>
      <c r="D162" s="498"/>
      <c r="E162" s="497"/>
      <c r="F162" s="499"/>
      <c r="G162" s="497"/>
      <c r="H162" s="497"/>
      <c r="I162" s="497"/>
      <c r="J162" s="499"/>
    </row>
    <row r="163" spans="3:10" ht="15.6" x14ac:dyDescent="0.25">
      <c r="C163" s="497" t="s">
        <v>88</v>
      </c>
      <c r="D163" s="498"/>
      <c r="E163" s="497"/>
      <c r="F163" s="499"/>
      <c r="G163" s="497"/>
      <c r="H163" s="497"/>
      <c r="I163" s="497"/>
      <c r="J163" s="498" t="s">
        <v>128</v>
      </c>
    </row>
  </sheetData>
  <sortState ref="A16:AN125">
    <sortCondition ref="T16:T125"/>
    <sortCondition ref="U16:U125"/>
  </sortState>
  <mergeCells count="7">
    <mergeCell ref="A6:R6"/>
    <mergeCell ref="A8:B8"/>
    <mergeCell ref="A1:R1"/>
    <mergeCell ref="A2:R2"/>
    <mergeCell ref="A3:R3"/>
    <mergeCell ref="A4:R4"/>
    <mergeCell ref="A5:R5"/>
  </mergeCells>
  <printOptions horizontalCentered="1"/>
  <pageMargins left="0.39370078740157483" right="0.39370078740157483" top="0.39370078740157483" bottom="0.39370078740157483" header="0.59055118110236227" footer="0.39370078740157483"/>
  <pageSetup paperSize="9" scale="72" orientation="portrait" verticalDpi="300" r:id="rId1"/>
  <headerFooter alignWithMargins="0"/>
  <rowBreaks count="1" manualBreakCount="1">
    <brk id="75" max="1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X93"/>
  <sheetViews>
    <sheetView view="pageBreakPreview" zoomScale="80" zoomScaleNormal="85" zoomScaleSheetLayoutView="80" workbookViewId="0">
      <selection activeCell="M25" sqref="M25"/>
    </sheetView>
  </sheetViews>
  <sheetFormatPr defaultColWidth="9.109375" defaultRowHeight="13.2" outlineLevelCol="1" x14ac:dyDescent="0.25"/>
  <cols>
    <col min="1" max="1" width="4.5546875" style="41" customWidth="1"/>
    <col min="2" max="2" width="8" style="418" customWidth="1"/>
    <col min="3" max="3" width="21.77734375" style="41" customWidth="1"/>
    <col min="4" max="4" width="9.6640625" style="250" customWidth="1"/>
    <col min="5" max="5" width="7.109375" style="41" customWidth="1"/>
    <col min="6" max="6" width="5.77734375" style="41" customWidth="1"/>
    <col min="7" max="7" width="6.109375" style="418" customWidth="1"/>
    <col min="8" max="8" width="6.5546875" style="418" customWidth="1"/>
    <col min="9" max="9" width="6.33203125" style="41" customWidth="1"/>
    <col min="10" max="10" width="5.6640625" style="41" customWidth="1"/>
    <col min="11" max="11" width="8" style="418" customWidth="1" outlineLevel="1"/>
    <col min="12" max="13" width="6.33203125" style="418" customWidth="1" outlineLevel="1"/>
    <col min="14" max="14" width="6" style="418" customWidth="1" outlineLevel="1"/>
    <col min="15" max="15" width="6.33203125" style="418" customWidth="1" outlineLevel="1"/>
    <col min="16" max="16" width="5.6640625" style="149" customWidth="1"/>
    <col min="17" max="17" width="5.77734375" style="149" customWidth="1"/>
    <col min="18" max="18" width="8.33203125" style="149" customWidth="1"/>
    <col min="19" max="19" width="5.109375" style="149" bestFit="1" customWidth="1"/>
    <col min="20" max="20" width="4.109375" style="149" customWidth="1"/>
    <col min="21" max="21" width="2" style="149" bestFit="1" customWidth="1"/>
    <col min="22" max="22" width="3.88671875" style="149" bestFit="1" customWidth="1"/>
    <col min="23" max="23" width="8" style="41" customWidth="1" outlineLevel="1"/>
    <col min="24" max="24" width="8.44140625" style="41" customWidth="1" outlineLevel="1"/>
    <col min="25" max="25" width="5.6640625" style="41" customWidth="1" outlineLevel="1"/>
    <col min="26" max="26" width="8" style="41" customWidth="1" outlineLevel="1"/>
    <col min="27" max="27" width="5.6640625" style="41" customWidth="1" outlineLevel="1"/>
    <col min="28" max="28" width="6" style="41" customWidth="1" outlineLevel="1"/>
    <col min="29" max="29" width="5" style="41" customWidth="1" outlineLevel="1"/>
    <col min="30" max="30" width="6" style="41" customWidth="1" outlineLevel="1"/>
    <col min="31" max="31" width="6.88671875" style="41" customWidth="1" outlineLevel="1"/>
    <col min="32" max="32" width="5.109375" style="41" customWidth="1" outlineLevel="1"/>
    <col min="33" max="33" width="5.109375" style="41" bestFit="1" customWidth="1"/>
    <col min="34" max="34" width="10.33203125" style="418" bestFit="1" customWidth="1"/>
    <col min="35" max="35" width="6.5546875" style="418" bestFit="1" customWidth="1"/>
    <col min="36" max="36" width="4.6640625" style="41" bestFit="1" customWidth="1"/>
    <col min="37" max="37" width="4.88671875" style="418" bestFit="1" customWidth="1"/>
    <col min="38" max="38" width="5.109375" style="41" bestFit="1" customWidth="1"/>
    <col min="39" max="41" width="3.109375" style="41" bestFit="1" customWidth="1"/>
    <col min="42" max="16384" width="9.109375" style="41"/>
  </cols>
  <sheetData>
    <row r="1" spans="1:50" ht="13.2" customHeight="1" x14ac:dyDescent="0.25">
      <c r="A1" s="803" t="str">
        <f>Расп!$A$21</f>
        <v>МИНИСТЕРСТВО СПОРТА РОССИЙСКОЙ ФЕДЕРАЦИИ</v>
      </c>
      <c r="B1" s="803"/>
      <c r="C1" s="803"/>
      <c r="D1" s="803"/>
      <c r="E1" s="803"/>
      <c r="F1" s="803"/>
      <c r="G1" s="803"/>
      <c r="H1" s="803"/>
      <c r="I1" s="803"/>
      <c r="J1" s="803"/>
      <c r="K1" s="803"/>
      <c r="L1" s="803"/>
      <c r="M1" s="803"/>
      <c r="N1" s="803"/>
      <c r="O1" s="803"/>
      <c r="P1" s="803"/>
      <c r="Q1" s="803"/>
      <c r="R1" s="803"/>
      <c r="W1" s="145"/>
      <c r="X1" s="250" t="s">
        <v>29</v>
      </c>
      <c r="Y1" s="419">
        <v>0</v>
      </c>
      <c r="Z1" s="419"/>
      <c r="AA1" s="419"/>
      <c r="AB1" s="419"/>
      <c r="AC1" s="320">
        <v>3800</v>
      </c>
      <c r="AD1" s="320">
        <v>4600</v>
      </c>
      <c r="AE1" s="420">
        <v>5400</v>
      </c>
      <c r="AF1" s="420">
        <v>6200</v>
      </c>
      <c r="AG1" s="320">
        <v>7100</v>
      </c>
      <c r="AH1" s="320">
        <v>8150</v>
      </c>
      <c r="AI1" s="206"/>
      <c r="AJ1" s="421" t="s">
        <v>129</v>
      </c>
      <c r="AK1" s="422" t="s">
        <v>136</v>
      </c>
      <c r="AL1" s="421">
        <v>5500</v>
      </c>
      <c r="AM1" s="206"/>
      <c r="AN1" s="206"/>
    </row>
    <row r="2" spans="1:50" ht="13.2" customHeight="1" x14ac:dyDescent="0.25">
      <c r="A2" s="803" t="str">
        <f>Расп!$A$22</f>
        <v>ВСЕРОССИЙСКАЯ ФЕДЕРАЦИЯ ЛЕГКОЙ АТЛЕТИКИ</v>
      </c>
      <c r="B2" s="803"/>
      <c r="C2" s="803"/>
      <c r="D2" s="803"/>
      <c r="E2" s="803"/>
      <c r="F2" s="803"/>
      <c r="G2" s="803"/>
      <c r="H2" s="803"/>
      <c r="I2" s="803"/>
      <c r="J2" s="803"/>
      <c r="K2" s="803"/>
      <c r="L2" s="803"/>
      <c r="M2" s="803"/>
      <c r="N2" s="803"/>
      <c r="O2" s="803"/>
      <c r="P2" s="803"/>
      <c r="Q2" s="803"/>
      <c r="R2" s="803"/>
      <c r="W2" s="145"/>
      <c r="X2" s="250" t="s">
        <v>1</v>
      </c>
      <c r="Y2" s="423" t="s">
        <v>66</v>
      </c>
      <c r="Z2" s="206" t="s">
        <v>130</v>
      </c>
      <c r="AA2" s="206" t="s">
        <v>131</v>
      </c>
      <c r="AB2" s="206" t="s">
        <v>132</v>
      </c>
      <c r="AC2" s="424">
        <v>3</v>
      </c>
      <c r="AD2" s="419">
        <v>2</v>
      </c>
      <c r="AE2" s="419">
        <v>1</v>
      </c>
      <c r="AF2" s="425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0" ht="13.2" customHeight="1" x14ac:dyDescent="0.25">
      <c r="A3" s="803" t="str">
        <f>Расп!$A$25</f>
        <v>Командный чемпионат России</v>
      </c>
      <c r="B3" s="803"/>
      <c r="C3" s="803"/>
      <c r="D3" s="803"/>
      <c r="E3" s="803"/>
      <c r="F3" s="803"/>
      <c r="G3" s="803"/>
      <c r="H3" s="803"/>
      <c r="I3" s="803"/>
      <c r="J3" s="803"/>
      <c r="K3" s="803"/>
      <c r="L3" s="803"/>
      <c r="M3" s="803"/>
      <c r="N3" s="803"/>
      <c r="O3" s="803"/>
      <c r="P3" s="803"/>
      <c r="Q3" s="803"/>
      <c r="R3" s="803"/>
      <c r="W3" s="145"/>
      <c r="X3" s="250"/>
      <c r="Y3" s="206"/>
      <c r="Z3" s="206"/>
      <c r="AA3" s="206"/>
      <c r="AB3" s="206"/>
      <c r="AD3" s="206"/>
      <c r="AE3" s="206"/>
      <c r="AF3" s="426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0" ht="13.2" customHeight="1" x14ac:dyDescent="0.25">
      <c r="A4" s="803" t="str">
        <f>Расп!$A$27</f>
        <v>по многоборью</v>
      </c>
      <c r="B4" s="803"/>
      <c r="C4" s="803"/>
      <c r="D4" s="803"/>
      <c r="E4" s="803"/>
      <c r="F4" s="803"/>
      <c r="G4" s="803"/>
      <c r="H4" s="803"/>
      <c r="I4" s="803"/>
      <c r="J4" s="803"/>
      <c r="K4" s="803"/>
      <c r="L4" s="803"/>
      <c r="M4" s="803"/>
      <c r="N4" s="803"/>
      <c r="O4" s="803"/>
      <c r="P4" s="803"/>
      <c r="Q4" s="803"/>
      <c r="R4" s="80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0" ht="13.2" customHeight="1" x14ac:dyDescent="0.3">
      <c r="A5" s="804" t="s">
        <v>280</v>
      </c>
      <c r="B5" s="804"/>
      <c r="C5" s="804"/>
      <c r="D5" s="804"/>
      <c r="E5" s="804"/>
      <c r="F5" s="804"/>
      <c r="G5" s="804"/>
      <c r="H5" s="804"/>
      <c r="I5" s="804"/>
      <c r="J5" s="804"/>
      <c r="K5" s="804"/>
      <c r="L5" s="804"/>
      <c r="M5" s="804"/>
      <c r="N5" s="804"/>
      <c r="O5" s="804"/>
      <c r="P5" s="804"/>
      <c r="Q5" s="804"/>
      <c r="R5" s="80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0" ht="13.2" customHeight="1" x14ac:dyDescent="0.25">
      <c r="A6" s="801" t="s">
        <v>118</v>
      </c>
      <c r="B6" s="801"/>
      <c r="C6" s="801"/>
      <c r="D6" s="801"/>
      <c r="E6" s="801"/>
      <c r="F6" s="801"/>
      <c r="G6" s="801"/>
      <c r="H6" s="801"/>
      <c r="I6" s="801"/>
      <c r="J6" s="801"/>
      <c r="K6" s="801"/>
      <c r="L6" s="801"/>
      <c r="M6" s="801"/>
      <c r="N6" s="801"/>
      <c r="O6" s="801"/>
      <c r="P6" s="801"/>
      <c r="Q6" s="801"/>
      <c r="R6" s="80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0" ht="13.2" customHeight="1" x14ac:dyDescent="0.25">
      <c r="C7" s="418"/>
      <c r="E7" s="147"/>
      <c r="G7" s="41"/>
      <c r="H7" s="206"/>
      <c r="I7" s="427"/>
      <c r="K7" s="503" t="str">
        <f>Расп!$A$1</f>
        <v>04.09.2019 г.</v>
      </c>
      <c r="L7" s="521" t="s">
        <v>267</v>
      </c>
      <c r="M7" s="504"/>
      <c r="N7" s="500"/>
      <c r="O7" s="501"/>
      <c r="P7" s="501"/>
      <c r="Q7" s="503" t="str">
        <f>Расп!$A$7</f>
        <v>19.05.2019 г.</v>
      </c>
      <c r="R7" s="504" t="s">
        <v>267</v>
      </c>
      <c r="S7" s="418"/>
      <c r="T7" s="418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0" ht="13.2" customHeight="1" x14ac:dyDescent="0.25">
      <c r="A8" s="802" t="str">
        <f>Расп!A28</f>
        <v>Мужчины</v>
      </c>
      <c r="B8" s="802"/>
      <c r="C8" s="505"/>
      <c r="E8" s="147"/>
      <c r="G8" s="41"/>
      <c r="H8" s="206"/>
      <c r="I8" s="427"/>
      <c r="J8" s="519"/>
      <c r="K8" s="500" t="str">
        <f>Расп!A2</f>
        <v>бег 100 м</v>
      </c>
      <c r="L8" s="207">
        <f>Расп!B2</f>
        <v>0.39583333333333331</v>
      </c>
      <c r="M8" s="502"/>
      <c r="N8" s="500"/>
      <c r="O8" s="501"/>
      <c r="P8" s="501"/>
      <c r="Q8" s="500" t="str">
        <f>Расп!A8</f>
        <v>бег с барьерами 110 м (1,067 м)</v>
      </c>
      <c r="R8" s="502">
        <f>Расп!B8</f>
        <v>0.41666666666666669</v>
      </c>
      <c r="S8" s="418"/>
      <c r="T8" s="418"/>
      <c r="W8" s="152" t="s">
        <v>22</v>
      </c>
      <c r="X8" s="250" t="s">
        <v>76</v>
      </c>
      <c r="Y8" s="428">
        <v>1</v>
      </c>
      <c r="Z8" s="428">
        <v>2</v>
      </c>
      <c r="AA8" s="206">
        <v>3</v>
      </c>
      <c r="AB8" s="428" t="s">
        <v>61</v>
      </c>
      <c r="AC8" s="428" t="s">
        <v>60</v>
      </c>
      <c r="AD8" s="428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0" ht="13.2" customHeight="1" x14ac:dyDescent="0.25">
      <c r="A9" s="206" t="str">
        <f>Расп!$A$14</f>
        <v>РМ</v>
      </c>
      <c r="B9" s="418">
        <f>Расп!B14</f>
        <v>9039</v>
      </c>
      <c r="C9" s="418"/>
      <c r="G9" s="41"/>
      <c r="H9" s="206"/>
      <c r="I9" s="427"/>
      <c r="J9" s="204"/>
      <c r="K9" s="500" t="str">
        <f>Расп!A3</f>
        <v>прыжок в длину</v>
      </c>
      <c r="L9" s="207">
        <f>Расп!B3</f>
        <v>0.42708333333333331</v>
      </c>
      <c r="M9" s="502"/>
      <c r="N9" s="500"/>
      <c r="O9" s="501"/>
      <c r="P9" s="501"/>
      <c r="Q9" s="500" t="str">
        <f>Расп!A9</f>
        <v>метание диска (2,0 кг)</v>
      </c>
      <c r="R9" s="502">
        <f>Расп!B9</f>
        <v>0.4513888888888889</v>
      </c>
      <c r="S9" s="418"/>
      <c r="T9" s="418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0" ht="13.2" customHeight="1" x14ac:dyDescent="0.3">
      <c r="A10" s="206" t="str">
        <f>Расп!$A$15</f>
        <v>РЕ</v>
      </c>
      <c r="B10" s="418">
        <f>Расп!B15</f>
        <v>9026</v>
      </c>
      <c r="C10" s="418"/>
      <c r="G10" s="41"/>
      <c r="H10" s="206"/>
      <c r="I10" s="427"/>
      <c r="J10" s="204"/>
      <c r="K10" s="500" t="str">
        <f>Расп!A4</f>
        <v>толкание ядра (7,26 кг)</v>
      </c>
      <c r="L10" s="207">
        <f>Расп!B4</f>
        <v>0.46875</v>
      </c>
      <c r="M10" s="502"/>
      <c r="N10" s="501"/>
      <c r="O10" s="257"/>
      <c r="P10" s="204"/>
      <c r="Q10" s="500" t="str">
        <f>Расп!A10</f>
        <v>прыжок с шестом</v>
      </c>
      <c r="R10" s="502">
        <f>Расп!B10</f>
        <v>0.52777777777777779</v>
      </c>
      <c r="W10" s="152" t="s">
        <v>24</v>
      </c>
      <c r="X10" s="320"/>
      <c r="Y10" s="320"/>
      <c r="Z10" s="320"/>
      <c r="AA10" s="320"/>
      <c r="AB10" s="320"/>
      <c r="AC10" s="320"/>
      <c r="AD10" s="430"/>
      <c r="AE10" s="430"/>
      <c r="AF10" s="430"/>
      <c r="AH10" s="320"/>
      <c r="AI10" s="431"/>
      <c r="AJ10" s="320"/>
      <c r="AK10" s="320"/>
      <c r="AL10" s="320"/>
      <c r="AM10" s="320"/>
      <c r="AN10" s="430"/>
      <c r="AR10" s="418"/>
      <c r="AS10" s="250"/>
      <c r="AT10" s="206"/>
      <c r="AU10" s="206"/>
      <c r="AV10" s="206"/>
      <c r="AW10" s="206"/>
      <c r="AX10" s="206"/>
    </row>
    <row r="11" spans="1:50" ht="13.2" customHeight="1" x14ac:dyDescent="0.3">
      <c r="A11" s="206" t="str">
        <f>Расп!$A$16</f>
        <v>РР</v>
      </c>
      <c r="B11" s="418">
        <f>Расп!B16</f>
        <v>8698</v>
      </c>
      <c r="C11" s="418"/>
      <c r="G11" s="41"/>
      <c r="H11" s="206"/>
      <c r="I11" s="427"/>
      <c r="J11" s="204"/>
      <c r="K11" s="500" t="str">
        <f>Расп!A5</f>
        <v>прыжок в высоту</v>
      </c>
      <c r="L11" s="207">
        <f>Расп!B5</f>
        <v>0.625</v>
      </c>
      <c r="M11" s="502"/>
      <c r="N11" s="501"/>
      <c r="O11" s="257"/>
      <c r="P11" s="204"/>
      <c r="Q11" s="500" t="str">
        <f>Расп!A11</f>
        <v>метание копья (800 г)</v>
      </c>
      <c r="R11" s="502">
        <f>Расп!B11</f>
        <v>0.625</v>
      </c>
      <c r="W11" s="152"/>
      <c r="X11" s="432" t="s">
        <v>133</v>
      </c>
      <c r="Y11" s="433">
        <v>5</v>
      </c>
      <c r="Z11" s="320"/>
      <c r="AA11" s="320"/>
      <c r="AB11" s="320"/>
      <c r="AC11" s="320"/>
      <c r="AD11" s="430"/>
      <c r="AE11" s="430"/>
      <c r="AF11" s="430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0" ht="13.2" customHeight="1" x14ac:dyDescent="0.3">
      <c r="A12" s="41" t="str">
        <f>Расп!$A$26</f>
        <v>г.Сочи, Адлерский район, стадион "Юность"</v>
      </c>
      <c r="C12" s="153"/>
      <c r="J12" s="204"/>
      <c r="K12" s="500" t="str">
        <f>Расп!A6</f>
        <v>бег 400 м</v>
      </c>
      <c r="L12" s="207">
        <f>Расп!B6</f>
        <v>0.72916666666666663</v>
      </c>
      <c r="M12" s="502"/>
      <c r="N12" s="501"/>
      <c r="O12" s="501"/>
      <c r="P12" s="204"/>
      <c r="Q12" s="500" t="str">
        <f>Расп!A12</f>
        <v>бег 1500 м</v>
      </c>
      <c r="R12" s="502">
        <f>Расп!B12</f>
        <v>0.76388888888888884</v>
      </c>
      <c r="W12" s="434"/>
      <c r="X12" s="320"/>
      <c r="Y12" s="320"/>
      <c r="Z12" s="320"/>
      <c r="AA12" s="320"/>
      <c r="AB12" s="320"/>
      <c r="AC12" s="320"/>
      <c r="AD12" s="430"/>
      <c r="AE12" s="430"/>
      <c r="AF12" s="430"/>
      <c r="AH12" s="41"/>
      <c r="AI12" s="41"/>
      <c r="AK12" s="41"/>
    </row>
    <row r="13" spans="1:50" s="158" customFormat="1" ht="30.6" customHeight="1" x14ac:dyDescent="0.2">
      <c r="A13" s="506" t="s">
        <v>59</v>
      </c>
      <c r="B13" s="506" t="s">
        <v>272</v>
      </c>
      <c r="C13" s="506" t="s">
        <v>273</v>
      </c>
      <c r="D13" s="506" t="s">
        <v>274</v>
      </c>
      <c r="E13" s="435"/>
      <c r="F13" s="506" t="s">
        <v>277</v>
      </c>
      <c r="G13" s="506" t="s">
        <v>248</v>
      </c>
      <c r="H13" s="506" t="s">
        <v>269</v>
      </c>
      <c r="I13" s="506" t="s">
        <v>249</v>
      </c>
      <c r="J13" s="506" t="s">
        <v>278</v>
      </c>
      <c r="K13" s="506" t="s">
        <v>268</v>
      </c>
      <c r="L13" s="506" t="s">
        <v>270</v>
      </c>
      <c r="M13" s="506" t="s">
        <v>251</v>
      </c>
      <c r="N13" s="506" t="s">
        <v>271</v>
      </c>
      <c r="O13" s="506" t="s">
        <v>279</v>
      </c>
      <c r="P13" s="507" t="s">
        <v>29</v>
      </c>
      <c r="Q13" s="507" t="s">
        <v>1</v>
      </c>
      <c r="R13" s="508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436" t="s">
        <v>70</v>
      </c>
      <c r="AE13" s="436" t="s">
        <v>18</v>
      </c>
      <c r="AF13" s="436">
        <v>1500</v>
      </c>
      <c r="AH13" s="437" t="s">
        <v>134</v>
      </c>
      <c r="AI13" s="437" t="s">
        <v>135</v>
      </c>
      <c r="AJ13" s="158" t="s">
        <v>137</v>
      </c>
    </row>
    <row r="14" spans="1:50" s="417" customFormat="1" ht="13.2" hidden="1" customHeight="1" x14ac:dyDescent="0.25">
      <c r="D14" s="429"/>
      <c r="P14" s="157"/>
      <c r="Q14" s="157"/>
      <c r="R14" s="157"/>
      <c r="S14" s="157"/>
      <c r="T14" s="157"/>
      <c r="U14" s="157"/>
      <c r="V14" s="157"/>
      <c r="W14" s="438"/>
      <c r="X14" s="399"/>
      <c r="Y14" s="399"/>
      <c r="Z14" s="399"/>
      <c r="AA14" s="399"/>
      <c r="AB14" s="399"/>
      <c r="AC14" s="399"/>
      <c r="AD14" s="439"/>
      <c r="AE14" s="439"/>
      <c r="AF14" s="439"/>
    </row>
    <row r="15" spans="1:50" s="417" customFormat="1" ht="13.2" customHeight="1" thickBot="1" x14ac:dyDescent="0.3">
      <c r="A15" s="440"/>
      <c r="B15" s="440"/>
      <c r="C15" s="440"/>
      <c r="D15" s="441"/>
      <c r="E15" s="440"/>
      <c r="F15" s="440"/>
      <c r="G15" s="440"/>
      <c r="H15" s="440"/>
      <c r="I15" s="440"/>
      <c r="J15" s="440"/>
      <c r="K15" s="440"/>
      <c r="L15" s="440"/>
      <c r="M15" s="440"/>
      <c r="N15" s="440"/>
      <c r="O15" s="440"/>
      <c r="P15" s="442"/>
      <c r="Q15" s="442"/>
      <c r="R15" s="442"/>
      <c r="S15" s="157"/>
      <c r="T15" s="157"/>
      <c r="U15" s="157"/>
      <c r="V15" s="157"/>
      <c r="W15" s="152"/>
      <c r="X15" s="399"/>
      <c r="Y15" s="399"/>
      <c r="Z15" s="399"/>
      <c r="AA15" s="399"/>
      <c r="AB15" s="399"/>
      <c r="AC15" s="399"/>
      <c r="AD15" s="439"/>
      <c r="AE15" s="439"/>
      <c r="AF15" s="439"/>
    </row>
    <row r="16" spans="1:50" s="280" customFormat="1" ht="13.2" customHeight="1" thickTop="1" x14ac:dyDescent="0.35">
      <c r="A16" s="231" t="e">
        <f>RANK(P16,$P$16:$P$80,0)</f>
        <v>#N/A</v>
      </c>
      <c r="B16" s="404">
        <v>43</v>
      </c>
      <c r="C16" s="443" t="str">
        <f>VLOOKUP(B16,Уч!$A$2:$L$34,2,FALSE)</f>
        <v>Соляков Федор</v>
      </c>
      <c r="D16" s="444" t="str">
        <f>VLOOKUP(B16,Уч!$A$2:$L$34,3,FALSE)</f>
        <v>08.03.1998</v>
      </c>
      <c r="E16" s="509" t="s">
        <v>19</v>
      </c>
      <c r="F16" s="445">
        <f>VLOOKUP($B16,'100 м 1'!$C$18:$I$87,5,FALSE)</f>
        <v>11.78</v>
      </c>
      <c r="G16" s="446">
        <f>VLOOKUP($B16,'длина 2 '!$C$16:$O$54,11,FALSE)</f>
        <v>7.04</v>
      </c>
      <c r="H16" s="446">
        <f>VLOOKUP($B16,'ядро 2'!$C$16:$K$60,8,FALSE)</f>
        <v>13.33</v>
      </c>
      <c r="I16" s="446">
        <f>VLOOKUP($B16,'высота 2'!$C$16:$AF$57,29,FALSE)</f>
        <v>1.82</v>
      </c>
      <c r="J16" s="447" t="e">
        <f>VLOOKUP($B16,'4_р'!$C$17:$H$73,5,FALSE)</f>
        <v>#N/A</v>
      </c>
      <c r="K16" s="446" t="e">
        <f>VLOOKUP($B16,'1cб_р'!$C$17:$I$67,5,FALSE)</f>
        <v>#N/A</v>
      </c>
      <c r="L16" s="446" t="e">
        <f>VLOOKUP($B16,Дс_р!$C$16:$K$70,8,FALSE)</f>
        <v>#N/A</v>
      </c>
      <c r="M16" s="446" t="e">
        <f>VLOOKUP($B16,Ш_р!$C$15:$AF$69,29,FALSE)</f>
        <v>#N/A</v>
      </c>
      <c r="N16" s="446" t="e">
        <f>VLOOKUP($B16,К_р!$C$15:$K$68,8,FALSE)</f>
        <v>#N/A</v>
      </c>
      <c r="O16" s="404" t="e">
        <f>VLOOKUP($B16,'15_р'!$C$17:$H$86,5,FALSE)</f>
        <v>#N/A</v>
      </c>
      <c r="P16" s="448" t="e">
        <f>SUM(F18:O18)</f>
        <v>#N/A</v>
      </c>
      <c r="Q16" s="231" t="e">
        <f>LOOKUP(P16,Y$1:AH$1,Y$2:AH$2)</f>
        <v>#N/A</v>
      </c>
      <c r="R16" s="404" t="e">
        <f>AH16+AI16+5</f>
        <v>#N/A</v>
      </c>
      <c r="S16" s="404">
        <f>B16</f>
        <v>43</v>
      </c>
      <c r="T16" s="287" t="e">
        <f>$A16</f>
        <v>#N/A</v>
      </c>
      <c r="U16" s="287">
        <v>1</v>
      </c>
      <c r="V16" s="287" t="e">
        <f>$A16</f>
        <v>#N/A</v>
      </c>
      <c r="W16" s="449"/>
      <c r="X16" s="307"/>
      <c r="Y16" s="307"/>
      <c r="Z16" s="307"/>
      <c r="AA16" s="307"/>
      <c r="AB16" s="307"/>
      <c r="AC16" s="307"/>
      <c r="AD16" s="450"/>
      <c r="AE16" s="450"/>
      <c r="AF16" s="450"/>
      <c r="AH16" s="280" t="e">
        <f>IF(AND(T16&gt;16,P16&gt;=6200),"1",LOOKUP(T16,Y$5:AO$5,Y$6:AO$6))</f>
        <v>#N/A</v>
      </c>
      <c r="AI16" s="280" t="e">
        <f>LOOKUP(Q16,Y$8:AD$8,Y$9:AD$9)</f>
        <v>#N/A</v>
      </c>
      <c r="AJ16" s="404">
        <v>460</v>
      </c>
      <c r="AK16" s="231"/>
    </row>
    <row r="17" spans="1:37" s="280" customFormat="1" ht="13.2" customHeight="1" x14ac:dyDescent="0.35">
      <c r="A17" s="231"/>
      <c r="B17" s="404"/>
      <c r="C17" s="451" t="str">
        <f>VLOOKUP(B16,Уч!$A$2:$L$34,5,FALSE)</f>
        <v xml:space="preserve">Кемеровская область  </v>
      </c>
      <c r="D17" s="444" t="str">
        <f>VLOOKUP(B16,Уч!$A$2:$L$34,4,FALSE)</f>
        <v>КМС</v>
      </c>
      <c r="E17" s="509" t="s">
        <v>25</v>
      </c>
      <c r="F17" s="453">
        <f>VLOOKUP($B16,'100 м 1'!$C$18:$I$87,6,FALSE)</f>
        <v>0.8</v>
      </c>
      <c r="G17" s="454">
        <f>VLOOKUP($B16,'длина 2 '!$C$16:$O$54,12,FALSE)</f>
        <v>0</v>
      </c>
      <c r="H17" s="404"/>
      <c r="I17" s="454"/>
      <c r="J17" s="455"/>
      <c r="K17" s="454" t="e">
        <f>VLOOKUP($B16,'1cб_р'!$C$17:$I$67,6,FALSE)</f>
        <v>#N/A</v>
      </c>
      <c r="L17" s="454"/>
      <c r="M17" s="454"/>
      <c r="N17" s="404"/>
      <c r="O17" s="404"/>
      <c r="P17" s="448"/>
      <c r="Q17" s="456"/>
      <c r="R17" s="404" t="e">
        <f>CONCATENATE(AH16,"+",AI16,"+",5)</f>
        <v>#N/A</v>
      </c>
      <c r="S17" s="404">
        <f>B16</f>
        <v>43</v>
      </c>
      <c r="T17" s="287" t="e">
        <f>$A16</f>
        <v>#N/A</v>
      </c>
      <c r="U17" s="287">
        <v>2</v>
      </c>
      <c r="V17" s="287" t="e">
        <f>$A16</f>
        <v>#N/A</v>
      </c>
      <c r="W17" s="449"/>
      <c r="X17" s="307"/>
      <c r="Y17" s="307"/>
      <c r="Z17" s="307"/>
      <c r="AA17" s="307"/>
      <c r="AB17" s="307"/>
      <c r="AC17" s="307"/>
      <c r="AD17" s="450"/>
      <c r="AE17" s="450"/>
      <c r="AF17" s="450"/>
      <c r="AH17" s="231"/>
      <c r="AI17" s="231"/>
      <c r="AJ17" s="404">
        <v>460</v>
      </c>
      <c r="AK17" s="231"/>
    </row>
    <row r="18" spans="1:37" s="280" customFormat="1" ht="13.2" customHeight="1" x14ac:dyDescent="0.35">
      <c r="A18" s="231"/>
      <c r="B18" s="404"/>
      <c r="C18" s="457" t="str">
        <f>VLOOKUP(B16,Уч!$A$2:$L$34,7,FALSE)</f>
        <v>ГБФСУ КО "СШОР по легкой атлетике им. В.А.Савенкова"</v>
      </c>
      <c r="D18" s="444"/>
      <c r="E18" s="509" t="s">
        <v>29</v>
      </c>
      <c r="F18" s="458">
        <f>VLOOKUP($B16,'100 м 1'!$C$18:$I$87,7,FALSE)</f>
        <v>695</v>
      </c>
      <c r="G18" s="404">
        <f>VLOOKUP($B16,'длина 2 '!$C$16:$O$54,13,FALSE)</f>
        <v>0</v>
      </c>
      <c r="H18" s="404">
        <f>VLOOKUP($B16,'ядро 2'!$C$16:$K$60,9,FALSE)</f>
        <v>687</v>
      </c>
      <c r="I18" s="404">
        <f>VLOOKUP($B16,'высота 2'!$C$16:$AF$57,30,)</f>
        <v>0</v>
      </c>
      <c r="J18" s="459" t="e">
        <f>VLOOKUP($B16,'4_р'!$C$17:$H$73,6,FALSE)</f>
        <v>#N/A</v>
      </c>
      <c r="K18" s="404" t="e">
        <f>VLOOKUP($B16,'1cб_р'!$C$17:$I$67,7,FALSE)</f>
        <v>#N/A</v>
      </c>
      <c r="L18" s="404" t="e">
        <f>VLOOKUP($B16,Дс_р!$C$16:$K$70,9,FALSE)</f>
        <v>#N/A</v>
      </c>
      <c r="M18" s="404" t="e">
        <f>VLOOKUP($B16,Ш_р!$C$15:$AF$69,30,FALSE)</f>
        <v>#N/A</v>
      </c>
      <c r="N18" s="404" t="e">
        <f>VLOOKUP($B16,К_р!$C$15:$K$68,9,FALSE)</f>
        <v>#N/A</v>
      </c>
      <c r="O18" s="404" t="e">
        <f>VLOOKUP($B16,'15_р'!$C$17:$H$86,6,FALSE)</f>
        <v>#N/A</v>
      </c>
      <c r="P18" s="448"/>
      <c r="Q18" s="468"/>
      <c r="R18" s="372"/>
      <c r="S18" s="404">
        <f>B16</f>
        <v>43</v>
      </c>
      <c r="T18" s="287" t="e">
        <f>$A16</f>
        <v>#N/A</v>
      </c>
      <c r="U18" s="287">
        <v>3</v>
      </c>
      <c r="V18" s="287" t="e">
        <f>$A16</f>
        <v>#N/A</v>
      </c>
      <c r="W18" s="449"/>
      <c r="X18" s="307"/>
      <c r="Y18" s="307"/>
      <c r="Z18" s="307"/>
      <c r="AA18" s="307"/>
      <c r="AB18" s="307"/>
      <c r="AC18" s="307"/>
      <c r="AD18" s="450"/>
      <c r="AE18" s="450"/>
      <c r="AF18" s="450"/>
      <c r="AH18" s="231"/>
      <c r="AI18" s="231"/>
      <c r="AJ18" s="404">
        <v>460</v>
      </c>
      <c r="AK18" s="231"/>
    </row>
    <row r="19" spans="1:37" s="280" customFormat="1" ht="13.2" customHeight="1" x14ac:dyDescent="0.35">
      <c r="A19" s="231"/>
      <c r="B19" s="404"/>
      <c r="C19" s="451" t="str">
        <f>VLOOKUP(B16,Уч!$A$2:$L$34,11,FALSE)</f>
        <v>Канашевич А.М., Свистич Л.И.</v>
      </c>
      <c r="D19" s="444"/>
      <c r="E19" s="509" t="s">
        <v>276</v>
      </c>
      <c r="F19" s="458">
        <f>F18</f>
        <v>695</v>
      </c>
      <c r="G19" s="404">
        <f>F19+G18</f>
        <v>695</v>
      </c>
      <c r="H19" s="404">
        <f>G19+H18</f>
        <v>1382</v>
      </c>
      <c r="I19" s="404">
        <f>H19+I18</f>
        <v>1382</v>
      </c>
      <c r="J19" s="459" t="e">
        <f>SUM($F18:J18)</f>
        <v>#N/A</v>
      </c>
      <c r="K19" s="404" t="e">
        <f>SUM($F18:$K18)</f>
        <v>#N/A</v>
      </c>
      <c r="L19" s="404" t="e">
        <f>K19+L18</f>
        <v>#N/A</v>
      </c>
      <c r="M19" s="404" t="e">
        <f>L19+M18</f>
        <v>#N/A</v>
      </c>
      <c r="N19" s="404" t="e">
        <f>SUM($F18:$N18)</f>
        <v>#N/A</v>
      </c>
      <c r="O19" s="404" t="e">
        <f>SUM($F18:$O18)</f>
        <v>#N/A</v>
      </c>
      <c r="P19" s="448"/>
      <c r="Q19" s="456"/>
      <c r="R19" s="372"/>
      <c r="S19" s="404">
        <f>B16</f>
        <v>43</v>
      </c>
      <c r="T19" s="287" t="e">
        <f>$A16</f>
        <v>#N/A</v>
      </c>
      <c r="U19" s="287">
        <v>4</v>
      </c>
      <c r="V19" s="287" t="e">
        <f>$A16</f>
        <v>#N/A</v>
      </c>
      <c r="W19" s="372">
        <f t="shared" ref="W19:AF19" si="0">F19</f>
        <v>695</v>
      </c>
      <c r="X19" s="372">
        <f t="shared" si="0"/>
        <v>695</v>
      </c>
      <c r="Y19" s="372">
        <f t="shared" si="0"/>
        <v>1382</v>
      </c>
      <c r="Z19" s="372">
        <f t="shared" si="0"/>
        <v>1382</v>
      </c>
      <c r="AA19" s="372" t="e">
        <f t="shared" si="0"/>
        <v>#N/A</v>
      </c>
      <c r="AB19" s="372" t="e">
        <f t="shared" si="0"/>
        <v>#N/A</v>
      </c>
      <c r="AC19" s="372" t="e">
        <f t="shared" si="0"/>
        <v>#N/A</v>
      </c>
      <c r="AD19" s="372" t="e">
        <f t="shared" si="0"/>
        <v>#N/A</v>
      </c>
      <c r="AE19" s="372" t="e">
        <f t="shared" si="0"/>
        <v>#N/A</v>
      </c>
      <c r="AF19" s="372" t="e">
        <f t="shared" si="0"/>
        <v>#N/A</v>
      </c>
      <c r="AH19" s="231"/>
      <c r="AI19" s="231"/>
      <c r="AJ19" s="404">
        <v>460</v>
      </c>
      <c r="AK19" s="231"/>
    </row>
    <row r="20" spans="1:37" s="280" customFormat="1" ht="13.2" customHeight="1" thickBot="1" x14ac:dyDescent="0.3">
      <c r="A20" s="460"/>
      <c r="B20" s="461"/>
      <c r="C20" s="462">
        <f>VLOOKUP(B16,Уч!$A$2:$L$34,12,FALSE)</f>
        <v>0</v>
      </c>
      <c r="D20" s="467"/>
      <c r="E20" s="510" t="s">
        <v>59</v>
      </c>
      <c r="F20" s="464" t="e">
        <f>RANK(F19,$W$16:$W$80,0)</f>
        <v>#N/A</v>
      </c>
      <c r="G20" s="461" t="e">
        <f>RANK(G19,$X$16:$X$80,0)</f>
        <v>#N/A</v>
      </c>
      <c r="H20" s="461" t="e">
        <f>RANK(H19,$Y$16:$Y$80,0)</f>
        <v>#N/A</v>
      </c>
      <c r="I20" s="461" t="e">
        <f>RANK(I19,$Z$16:$Z$80,0)</f>
        <v>#N/A</v>
      </c>
      <c r="J20" s="465" t="e">
        <f>RANK(J19,$AA$16:$AA$80,0)</f>
        <v>#N/A</v>
      </c>
      <c r="K20" s="461" t="e">
        <f>RANK(K19,$AB$16:$AB$80,0)</f>
        <v>#N/A</v>
      </c>
      <c r="L20" s="461" t="e">
        <f>RANK(L19,$AC$16:$AC$80,0)</f>
        <v>#N/A</v>
      </c>
      <c r="M20" s="461" t="e">
        <f>RANK(M19,$AD$16:$AD$80,0)</f>
        <v>#N/A</v>
      </c>
      <c r="N20" s="461" t="e">
        <f>RANK(N19,$AE$16:$AE$80,0)</f>
        <v>#N/A</v>
      </c>
      <c r="O20" s="461" t="e">
        <f>RANK(O19,$AF$16:$AF$80,0)</f>
        <v>#N/A</v>
      </c>
      <c r="P20" s="466"/>
      <c r="Q20" s="442"/>
      <c r="R20" s="442"/>
      <c r="S20" s="205">
        <f>B16</f>
        <v>43</v>
      </c>
      <c r="T20" s="287" t="e">
        <f>$A16</f>
        <v>#N/A</v>
      </c>
      <c r="U20" s="287">
        <v>5</v>
      </c>
      <c r="V20" s="287" t="e">
        <f>$A16</f>
        <v>#N/A</v>
      </c>
      <c r="W20" s="449"/>
      <c r="X20" s="307"/>
      <c r="Y20" s="307"/>
      <c r="Z20" s="307"/>
      <c r="AA20" s="307"/>
      <c r="AB20" s="307"/>
      <c r="AC20" s="307"/>
      <c r="AD20" s="450"/>
      <c r="AE20" s="450"/>
      <c r="AF20" s="450"/>
      <c r="AJ20" s="404">
        <v>460</v>
      </c>
      <c r="AK20" s="231"/>
    </row>
    <row r="21" spans="1:37" s="280" customFormat="1" ht="13.2" customHeight="1" thickTop="1" x14ac:dyDescent="0.35">
      <c r="A21" s="231" t="e">
        <f>RANK(P21,$P$16:$P$80,0)</f>
        <v>#N/A</v>
      </c>
      <c r="B21" s="404">
        <v>25</v>
      </c>
      <c r="C21" s="443" t="e">
        <f>VLOOKUP(B21,Уч!$A$2:$L$34,2,FALSE)</f>
        <v>#N/A</v>
      </c>
      <c r="D21" s="444" t="e">
        <f>VLOOKUP(B21,Уч!$A$2:$L$34,3,FALSE)</f>
        <v>#N/A</v>
      </c>
      <c r="E21" s="509" t="s">
        <v>19</v>
      </c>
      <c r="F21" s="445">
        <f>VLOOKUP($B21,'100 м 1'!$C$18:$I$87,5,FALSE)</f>
        <v>11.3</v>
      </c>
      <c r="G21" s="446" t="e">
        <f>VLOOKUP($B21,'длина 2 '!$C$16:$O$54,11,FALSE)</f>
        <v>#N/A</v>
      </c>
      <c r="H21" s="446" t="e">
        <f>VLOOKUP($B21,'ядро 2'!$C$16:$K$60,8,FALSE)</f>
        <v>#N/A</v>
      </c>
      <c r="I21" s="446" t="e">
        <f>VLOOKUP($B21,'высота 2'!$C$16:$AF$57,29,FALSE)</f>
        <v>#N/A</v>
      </c>
      <c r="J21" s="447" t="e">
        <f>VLOOKUP($B21,'4_р'!$C$17:$H$73,5,FALSE)</f>
        <v>#N/A</v>
      </c>
      <c r="K21" s="446" t="e">
        <f>VLOOKUP($B21,'1cб_р'!$C$17:$I$67,5,FALSE)</f>
        <v>#N/A</v>
      </c>
      <c r="L21" s="446" t="e">
        <f>VLOOKUP($B21,Дс_р!$C$16:$K$70,8,FALSE)</f>
        <v>#N/A</v>
      </c>
      <c r="M21" s="446">
        <f>VLOOKUP($B21,Ш_р!$C$15:$AF$69,29,FALSE)</f>
        <v>0</v>
      </c>
      <c r="N21" s="446">
        <f>VLOOKUP($B21,К_р!$C$15:$K$68,8,FALSE)</f>
        <v>0</v>
      </c>
      <c r="O21" s="404" t="e">
        <f>VLOOKUP($B21,'15_р'!$C$17:$H$86,5,FALSE)</f>
        <v>#N/A</v>
      </c>
      <c r="P21" s="448" t="e">
        <f>SUM(F23:O23)</f>
        <v>#N/A</v>
      </c>
      <c r="Q21" s="231" t="e">
        <f>LOOKUP(P21,Y$1:AH$1,Y$2:AH$2)</f>
        <v>#N/A</v>
      </c>
      <c r="R21" s="404" t="e">
        <f>AH21+AI21+5</f>
        <v>#N/A</v>
      </c>
      <c r="S21" s="404">
        <f>B21</f>
        <v>25</v>
      </c>
      <c r="T21" s="287" t="e">
        <f>$A21</f>
        <v>#N/A</v>
      </c>
      <c r="U21" s="287">
        <v>1</v>
      </c>
      <c r="V21" s="287" t="e">
        <f>$A21</f>
        <v>#N/A</v>
      </c>
      <c r="W21" s="449"/>
      <c r="X21" s="307"/>
      <c r="Y21" s="307"/>
      <c r="Z21" s="307"/>
      <c r="AA21" s="307"/>
      <c r="AB21" s="307"/>
      <c r="AC21" s="307"/>
      <c r="AD21" s="450"/>
      <c r="AE21" s="450"/>
      <c r="AF21" s="450"/>
      <c r="AH21" s="280" t="e">
        <f>IF(AND(T21&gt;16,P21&gt;=6200),"1",LOOKUP(T21,Y$5:AO$5,Y$6:AO$6))</f>
        <v>#N/A</v>
      </c>
      <c r="AI21" s="280" t="e">
        <f>LOOKUP(Q21,Y$8:AD$8,Y$9:AD$9)</f>
        <v>#N/A</v>
      </c>
      <c r="AJ21" s="404">
        <v>505</v>
      </c>
      <c r="AK21" s="231"/>
    </row>
    <row r="22" spans="1:37" s="280" customFormat="1" ht="13.2" customHeight="1" x14ac:dyDescent="0.35">
      <c r="A22" s="231"/>
      <c r="B22" s="404"/>
      <c r="C22" s="451" t="e">
        <f>VLOOKUP(B21,Уч!$A$2:$L$34,5,FALSE)</f>
        <v>#N/A</v>
      </c>
      <c r="D22" s="444" t="e">
        <f>VLOOKUP(B21,Уч!$A$2:$L$34,4,FALSE)</f>
        <v>#N/A</v>
      </c>
      <c r="E22" s="509" t="s">
        <v>25</v>
      </c>
      <c r="F22" s="453">
        <f>VLOOKUP($B21,'100 м 1'!$C$18:$I$87,6,FALSE)</f>
        <v>1</v>
      </c>
      <c r="G22" s="454" t="e">
        <f>VLOOKUP($B21,'длина 2 '!$C$16:$O$54,12,FALSE)</f>
        <v>#N/A</v>
      </c>
      <c r="H22" s="404"/>
      <c r="I22" s="454"/>
      <c r="J22" s="455"/>
      <c r="K22" s="454" t="e">
        <f>VLOOKUP($B21,'1cб_р'!$C$17:$I$67,6,FALSE)</f>
        <v>#N/A</v>
      </c>
      <c r="L22" s="454"/>
      <c r="M22" s="454"/>
      <c r="N22" s="404"/>
      <c r="O22" s="404"/>
      <c r="P22" s="448"/>
      <c r="Q22" s="456"/>
      <c r="R22" s="404" t="e">
        <f>CONCATENATE(AH21,"+",AI21,"+",5)</f>
        <v>#N/A</v>
      </c>
      <c r="S22" s="404">
        <f>B21</f>
        <v>25</v>
      </c>
      <c r="T22" s="287" t="e">
        <f>$A21</f>
        <v>#N/A</v>
      </c>
      <c r="U22" s="287">
        <v>2</v>
      </c>
      <c r="V22" s="287" t="e">
        <f>$A21</f>
        <v>#N/A</v>
      </c>
      <c r="W22" s="449"/>
      <c r="X22" s="307"/>
      <c r="Y22" s="307"/>
      <c r="Z22" s="307"/>
      <c r="AA22" s="307"/>
      <c r="AB22" s="307"/>
      <c r="AC22" s="307"/>
      <c r="AD22" s="450"/>
      <c r="AE22" s="450"/>
      <c r="AF22" s="450"/>
      <c r="AH22" s="231"/>
      <c r="AI22" s="231"/>
      <c r="AJ22" s="404">
        <v>505</v>
      </c>
      <c r="AK22" s="231"/>
    </row>
    <row r="23" spans="1:37" s="280" customFormat="1" ht="13.2" customHeight="1" x14ac:dyDescent="0.35">
      <c r="A23" s="231"/>
      <c r="B23" s="404"/>
      <c r="C23" s="457" t="e">
        <f>VLOOKUP(B21,Уч!$A$2:$L$34,7,FALSE)</f>
        <v>#N/A</v>
      </c>
      <c r="D23" s="444"/>
      <c r="E23" s="509" t="s">
        <v>29</v>
      </c>
      <c r="F23" s="458">
        <f>VLOOKUP($B21,'100 м 1'!$C$18:$I$87,7,FALSE)</f>
        <v>795</v>
      </c>
      <c r="G23" s="404" t="e">
        <f>VLOOKUP($B21,'длина 2 '!$C$16:$O$54,13,FALSE)</f>
        <v>#N/A</v>
      </c>
      <c r="H23" s="404" t="e">
        <f>VLOOKUP($B21,'ядро 2'!$C$16:$K$60,9,FALSE)</f>
        <v>#N/A</v>
      </c>
      <c r="I23" s="404" t="e">
        <f>VLOOKUP($B21,'высота 2'!$C$16:$AF$57,30,)</f>
        <v>#N/A</v>
      </c>
      <c r="J23" s="459" t="e">
        <f>VLOOKUP($B21,'4_р'!$C$17:$H$73,6,FALSE)</f>
        <v>#N/A</v>
      </c>
      <c r="K23" s="404" t="e">
        <f>VLOOKUP($B21,'1cб_р'!$C$17:$I$67,7,FALSE)</f>
        <v>#N/A</v>
      </c>
      <c r="L23" s="404" t="e">
        <f>VLOOKUP($B21,Дс_р!$C$16:$K$70,9,FALSE)</f>
        <v>#N/A</v>
      </c>
      <c r="M23" s="404">
        <f>VLOOKUP($B21,Ш_р!$C$15:$AF$69,30,FALSE)</f>
        <v>0</v>
      </c>
      <c r="N23" s="404">
        <f>VLOOKUP($B21,К_р!$C$15:$K$68,9,FALSE)</f>
        <v>0</v>
      </c>
      <c r="O23" s="404" t="e">
        <f>VLOOKUP($B21,'15_р'!$C$17:$H$86,6,FALSE)</f>
        <v>#N/A</v>
      </c>
      <c r="P23" s="448"/>
      <c r="Q23" s="372"/>
      <c r="R23" s="372"/>
      <c r="S23" s="404">
        <f>B21</f>
        <v>25</v>
      </c>
      <c r="T23" s="287" t="e">
        <f>$A21</f>
        <v>#N/A</v>
      </c>
      <c r="U23" s="287">
        <v>3</v>
      </c>
      <c r="V23" s="287" t="e">
        <f>$A21</f>
        <v>#N/A</v>
      </c>
      <c r="W23" s="449"/>
      <c r="X23" s="307"/>
      <c r="Y23" s="307"/>
      <c r="Z23" s="307"/>
      <c r="AA23" s="307"/>
      <c r="AB23" s="307"/>
      <c r="AC23" s="307"/>
      <c r="AD23" s="450"/>
      <c r="AE23" s="450"/>
      <c r="AF23" s="450"/>
      <c r="AH23" s="231"/>
      <c r="AI23" s="231"/>
      <c r="AJ23" s="404">
        <v>505</v>
      </c>
      <c r="AK23" s="231"/>
    </row>
    <row r="24" spans="1:37" s="280" customFormat="1" ht="13.2" customHeight="1" x14ac:dyDescent="0.35">
      <c r="A24" s="231"/>
      <c r="B24" s="404"/>
      <c r="C24" s="451" t="e">
        <f>VLOOKUP(B21,Уч!$A$2:$L$34,11,FALSE)</f>
        <v>#N/A</v>
      </c>
      <c r="D24" s="444"/>
      <c r="E24" s="509" t="s">
        <v>276</v>
      </c>
      <c r="F24" s="458">
        <f>F23</f>
        <v>795</v>
      </c>
      <c r="G24" s="404" t="e">
        <f>F24+G23</f>
        <v>#N/A</v>
      </c>
      <c r="H24" s="404" t="e">
        <f>G24+H23</f>
        <v>#N/A</v>
      </c>
      <c r="I24" s="404" t="e">
        <f>H24+I23</f>
        <v>#N/A</v>
      </c>
      <c r="J24" s="459" t="e">
        <f>SUM($F23:J23)</f>
        <v>#N/A</v>
      </c>
      <c r="K24" s="404" t="e">
        <f>SUM($F23:$K23)</f>
        <v>#N/A</v>
      </c>
      <c r="L24" s="404" t="e">
        <f>K24+L23</f>
        <v>#N/A</v>
      </c>
      <c r="M24" s="404" t="e">
        <f>L24+M23</f>
        <v>#N/A</v>
      </c>
      <c r="N24" s="404" t="e">
        <f>SUM($F23:$N23)</f>
        <v>#N/A</v>
      </c>
      <c r="O24" s="404" t="e">
        <f>SUM($F23:$O23)</f>
        <v>#N/A</v>
      </c>
      <c r="P24" s="448"/>
      <c r="Q24" s="372"/>
      <c r="R24" s="372"/>
      <c r="S24" s="404">
        <f>B21</f>
        <v>25</v>
      </c>
      <c r="T24" s="287" t="e">
        <f>$A21</f>
        <v>#N/A</v>
      </c>
      <c r="U24" s="287">
        <v>4</v>
      </c>
      <c r="V24" s="287" t="e">
        <f>$A21</f>
        <v>#N/A</v>
      </c>
      <c r="W24" s="372">
        <f t="shared" ref="W24:AF24" si="1">F24</f>
        <v>795</v>
      </c>
      <c r="X24" s="372" t="e">
        <f t="shared" si="1"/>
        <v>#N/A</v>
      </c>
      <c r="Y24" s="372" t="e">
        <f t="shared" si="1"/>
        <v>#N/A</v>
      </c>
      <c r="Z24" s="372" t="e">
        <f t="shared" si="1"/>
        <v>#N/A</v>
      </c>
      <c r="AA24" s="372" t="e">
        <f t="shared" si="1"/>
        <v>#N/A</v>
      </c>
      <c r="AB24" s="372" t="e">
        <f t="shared" si="1"/>
        <v>#N/A</v>
      </c>
      <c r="AC24" s="372" t="e">
        <f t="shared" si="1"/>
        <v>#N/A</v>
      </c>
      <c r="AD24" s="372" t="e">
        <f t="shared" si="1"/>
        <v>#N/A</v>
      </c>
      <c r="AE24" s="372" t="e">
        <f t="shared" si="1"/>
        <v>#N/A</v>
      </c>
      <c r="AF24" s="372" t="e">
        <f t="shared" si="1"/>
        <v>#N/A</v>
      </c>
      <c r="AH24" s="231"/>
      <c r="AI24" s="231"/>
      <c r="AJ24" s="404">
        <v>505</v>
      </c>
      <c r="AK24" s="231"/>
    </row>
    <row r="25" spans="1:37" s="280" customFormat="1" ht="13.2" customHeight="1" thickBot="1" x14ac:dyDescent="0.3">
      <c r="A25" s="460"/>
      <c r="B25" s="461"/>
      <c r="C25" s="462" t="e">
        <f>VLOOKUP(B21,Уч!$A$2:$L$34,12,FALSE)</f>
        <v>#N/A</v>
      </c>
      <c r="D25" s="467"/>
      <c r="E25" s="510" t="s">
        <v>59</v>
      </c>
      <c r="F25" s="464" t="e">
        <f>RANK(F24,$W$16:$W$80,0)</f>
        <v>#N/A</v>
      </c>
      <c r="G25" s="461" t="e">
        <f>RANK(G24,$X$16:$X$80,0)</f>
        <v>#N/A</v>
      </c>
      <c r="H25" s="461" t="e">
        <f>RANK(H24,$Y$16:$Y$80,0)</f>
        <v>#N/A</v>
      </c>
      <c r="I25" s="461" t="e">
        <f>RANK(I24,$Z$16:$Z$80,0)</f>
        <v>#N/A</v>
      </c>
      <c r="J25" s="465" t="e">
        <f>RANK(J24,$AA$16:$AA$80,0)</f>
        <v>#N/A</v>
      </c>
      <c r="K25" s="461" t="e">
        <f>RANK(K24,$AB$16:$AB$80,0)</f>
        <v>#N/A</v>
      </c>
      <c r="L25" s="461" t="e">
        <f>RANK(L24,$AC$16:$AC$80,0)</f>
        <v>#N/A</v>
      </c>
      <c r="M25" s="461" t="e">
        <f>RANK(M24,$AD$16:$AD$80,0)</f>
        <v>#N/A</v>
      </c>
      <c r="N25" s="461" t="e">
        <f>RANK(N24,$AE$16:$AE$80,0)</f>
        <v>#N/A</v>
      </c>
      <c r="O25" s="461" t="e">
        <f>RANK(O24,$AF$16:$AF$80,0)</f>
        <v>#N/A</v>
      </c>
      <c r="P25" s="466"/>
      <c r="Q25" s="442"/>
      <c r="R25" s="442"/>
      <c r="S25" s="205">
        <f>B21</f>
        <v>25</v>
      </c>
      <c r="T25" s="287" t="e">
        <f>$A21</f>
        <v>#N/A</v>
      </c>
      <c r="U25" s="287">
        <v>5</v>
      </c>
      <c r="V25" s="287" t="e">
        <f>$A21</f>
        <v>#N/A</v>
      </c>
      <c r="W25" s="449"/>
      <c r="X25" s="307"/>
      <c r="Y25" s="307"/>
      <c r="Z25" s="307"/>
      <c r="AA25" s="307"/>
      <c r="AB25" s="307"/>
      <c r="AC25" s="307"/>
      <c r="AD25" s="450"/>
      <c r="AE25" s="450"/>
      <c r="AF25" s="450"/>
      <c r="AH25" s="231"/>
      <c r="AI25" s="231"/>
      <c r="AJ25" s="404">
        <v>505</v>
      </c>
      <c r="AK25" s="231"/>
    </row>
    <row r="26" spans="1:37" s="280" customFormat="1" ht="13.2" customHeight="1" thickTop="1" x14ac:dyDescent="0.35">
      <c r="A26" s="231" t="e">
        <f>RANK(P26,$P$16:$P$80,0)</f>
        <v>#N/A</v>
      </c>
      <c r="B26" s="404">
        <v>10</v>
      </c>
      <c r="C26" s="443" t="e">
        <f>VLOOKUP(B26,Уч!$A$2:$L$34,2,FALSE)</f>
        <v>#N/A</v>
      </c>
      <c r="D26" s="444" t="e">
        <f>VLOOKUP(B26,Уч!$A$2:$L$34,3,FALSE)</f>
        <v>#N/A</v>
      </c>
      <c r="E26" s="509" t="s">
        <v>19</v>
      </c>
      <c r="F26" s="445" t="e">
        <f>VLOOKUP($B26,'100 м 1'!$C$18:$I$87,5,FALSE)</f>
        <v>#N/A</v>
      </c>
      <c r="G26" s="446" t="e">
        <f>VLOOKUP($B26,'длина 2 '!$C$16:$O$54,11,FALSE)</f>
        <v>#N/A</v>
      </c>
      <c r="H26" s="446" t="e">
        <f>VLOOKUP($B26,'ядро 2'!$C$16:$K$60,8,FALSE)</f>
        <v>#N/A</v>
      </c>
      <c r="I26" s="446" t="e">
        <f>VLOOKUP($B26,'высота 2'!$C$16:$AF$57,29,FALSE)</f>
        <v>#N/A</v>
      </c>
      <c r="J26" s="447" t="e">
        <f>VLOOKUP($B26,'4_р'!$C$17:$H$73,5,FALSE)</f>
        <v>#N/A</v>
      </c>
      <c r="K26" s="446" t="e">
        <f>VLOOKUP($B26,'1cб_р'!$C$17:$I$67,5,FALSE)</f>
        <v>#N/A</v>
      </c>
      <c r="L26" s="446" t="e">
        <f>VLOOKUP($B26,Дс_р!$C$16:$K$70,8,FALSE)</f>
        <v>#N/A</v>
      </c>
      <c r="M26" s="446" t="e">
        <f>VLOOKUP($B26,Ш_р!$C$15:$AF$69,29,FALSE)</f>
        <v>#N/A</v>
      </c>
      <c r="N26" s="446">
        <f>VLOOKUP($B26,К_р!$C$15:$K$68,8,FALSE)</f>
        <v>53.38</v>
      </c>
      <c r="O26" s="404" t="e">
        <f>VLOOKUP($B26,'15_р'!$C$17:$H$86,5,FALSE)</f>
        <v>#N/A</v>
      </c>
      <c r="P26" s="448" t="e">
        <f>SUM(F28:O28)</f>
        <v>#N/A</v>
      </c>
      <c r="Q26" s="231" t="e">
        <f>LOOKUP(P26,Y$1:AH$1,Y$2:AH$2)</f>
        <v>#N/A</v>
      </c>
      <c r="R26" s="404" t="e">
        <f>AH26+AI26+5</f>
        <v>#N/A</v>
      </c>
      <c r="S26" s="404">
        <f>B26</f>
        <v>10</v>
      </c>
      <c r="T26" s="287" t="e">
        <f>$A26</f>
        <v>#N/A</v>
      </c>
      <c r="U26" s="287">
        <v>1</v>
      </c>
      <c r="V26" s="287" t="e">
        <f>$A26</f>
        <v>#N/A</v>
      </c>
      <c r="W26" s="449"/>
      <c r="X26" s="307"/>
      <c r="Y26" s="307"/>
      <c r="Z26" s="307"/>
      <c r="AA26" s="307"/>
      <c r="AB26" s="307"/>
      <c r="AC26" s="307"/>
      <c r="AD26" s="450"/>
      <c r="AE26" s="450"/>
      <c r="AF26" s="450"/>
      <c r="AH26" s="280" t="e">
        <f>IF(AND(T26&gt;16,P26&gt;=6200),"1",LOOKUP(T26,Y$5:AO$5,Y$6:AO$6))</f>
        <v>#N/A</v>
      </c>
      <c r="AI26" s="280" t="e">
        <f>LOOKUP(Q26,Y$8:AD$8,Y$9:AD$9)</f>
        <v>#N/A</v>
      </c>
      <c r="AJ26" s="404">
        <v>506</v>
      </c>
      <c r="AK26" s="231"/>
    </row>
    <row r="27" spans="1:37" s="280" customFormat="1" ht="13.2" customHeight="1" x14ac:dyDescent="0.35">
      <c r="A27" s="231"/>
      <c r="B27" s="404"/>
      <c r="C27" s="451" t="e">
        <f>VLOOKUP(B26,Уч!$A$2:$L$34,5,FALSE)</f>
        <v>#N/A</v>
      </c>
      <c r="D27" s="444" t="e">
        <f>VLOOKUP(B26,Уч!$A$2:$L$34,4,FALSE)</f>
        <v>#N/A</v>
      </c>
      <c r="E27" s="509" t="s">
        <v>25</v>
      </c>
      <c r="F27" s="453" t="e">
        <f>VLOOKUP($B26,'100 м 1'!$C$18:$I$87,6,FALSE)</f>
        <v>#N/A</v>
      </c>
      <c r="G27" s="454" t="e">
        <f>VLOOKUP($B26,'длина 2 '!$C$16:$O$54,12,FALSE)</f>
        <v>#N/A</v>
      </c>
      <c r="H27" s="404"/>
      <c r="I27" s="454"/>
      <c r="J27" s="455"/>
      <c r="K27" s="454" t="e">
        <f>VLOOKUP($B26,'1cб_р'!$C$17:$I$67,6,FALSE)</f>
        <v>#N/A</v>
      </c>
      <c r="L27" s="454"/>
      <c r="M27" s="454"/>
      <c r="N27" s="404"/>
      <c r="O27" s="404"/>
      <c r="P27" s="448"/>
      <c r="Q27" s="456"/>
      <c r="R27" s="404" t="e">
        <f>CONCATENATE(AH26,"+",AI26,"+",5)</f>
        <v>#N/A</v>
      </c>
      <c r="S27" s="404">
        <f>B26</f>
        <v>10</v>
      </c>
      <c r="T27" s="287" t="e">
        <f>$A26</f>
        <v>#N/A</v>
      </c>
      <c r="U27" s="287">
        <v>2</v>
      </c>
      <c r="V27" s="287" t="e">
        <f>$A26</f>
        <v>#N/A</v>
      </c>
      <c r="W27" s="449"/>
      <c r="X27" s="307"/>
      <c r="Y27" s="307"/>
      <c r="Z27" s="307"/>
      <c r="AA27" s="307"/>
      <c r="AB27" s="307"/>
      <c r="AC27" s="307"/>
      <c r="AD27" s="450"/>
      <c r="AE27" s="450"/>
      <c r="AF27" s="450"/>
      <c r="AH27" s="231"/>
      <c r="AI27" s="231"/>
      <c r="AJ27" s="404">
        <v>506</v>
      </c>
      <c r="AK27" s="231"/>
    </row>
    <row r="28" spans="1:37" s="280" customFormat="1" ht="13.2" customHeight="1" x14ac:dyDescent="0.35">
      <c r="A28" s="231"/>
      <c r="B28" s="404"/>
      <c r="C28" s="457" t="e">
        <f>VLOOKUP(B26,Уч!$A$2:$L$34,7,FALSE)</f>
        <v>#N/A</v>
      </c>
      <c r="D28" s="444"/>
      <c r="E28" s="509" t="s">
        <v>29</v>
      </c>
      <c r="F28" s="458" t="e">
        <f>VLOOKUP($B26,'100 м 1'!$C$18:$I$87,7,FALSE)</f>
        <v>#N/A</v>
      </c>
      <c r="G28" s="404" t="e">
        <f>VLOOKUP($B26,'длина 2 '!$C$16:$O$54,13,FALSE)</f>
        <v>#N/A</v>
      </c>
      <c r="H28" s="404" t="e">
        <f>VLOOKUP($B26,'ядро 2'!$C$16:$K$60,9,FALSE)</f>
        <v>#N/A</v>
      </c>
      <c r="I28" s="404" t="e">
        <f>VLOOKUP($B26,'высота 2'!$C$16:$AF$57,30,)</f>
        <v>#N/A</v>
      </c>
      <c r="J28" s="459" t="e">
        <f>VLOOKUP($B26,'4_р'!$C$17:$H$73,6,FALSE)</f>
        <v>#N/A</v>
      </c>
      <c r="K28" s="404" t="e">
        <f>VLOOKUP($B26,'1cб_р'!$C$17:$I$67,7,FALSE)</f>
        <v>#N/A</v>
      </c>
      <c r="L28" s="404" t="e">
        <f>VLOOKUP($B26,Дс_р!$C$16:$K$70,9,FALSE)</f>
        <v>#N/A</v>
      </c>
      <c r="M28" s="404" t="e">
        <f>VLOOKUP($B26,Ш_р!$C$15:$AF$69,30,FALSE)</f>
        <v>#N/A</v>
      </c>
      <c r="N28" s="404">
        <f>VLOOKUP($B26,К_р!$C$15:$K$68,9,FALSE)</f>
        <v>639</v>
      </c>
      <c r="O28" s="404" t="e">
        <f>VLOOKUP($B26,'15_р'!$C$17:$H$86,6,FALSE)</f>
        <v>#N/A</v>
      </c>
      <c r="P28" s="448"/>
      <c r="Q28" s="372"/>
      <c r="R28" s="372"/>
      <c r="S28" s="404">
        <f>B26</f>
        <v>10</v>
      </c>
      <c r="T28" s="287" t="e">
        <f>$A26</f>
        <v>#N/A</v>
      </c>
      <c r="U28" s="287">
        <v>3</v>
      </c>
      <c r="V28" s="287" t="e">
        <f>$A26</f>
        <v>#N/A</v>
      </c>
      <c r="W28" s="449"/>
      <c r="X28" s="307"/>
      <c r="Y28" s="307"/>
      <c r="Z28" s="307"/>
      <c r="AA28" s="307"/>
      <c r="AB28" s="307"/>
      <c r="AC28" s="307"/>
      <c r="AD28" s="450"/>
      <c r="AE28" s="450"/>
      <c r="AF28" s="450"/>
      <c r="AH28" s="231"/>
      <c r="AI28" s="231"/>
      <c r="AJ28" s="404">
        <v>506</v>
      </c>
      <c r="AK28" s="231"/>
    </row>
    <row r="29" spans="1:37" s="280" customFormat="1" ht="13.2" customHeight="1" x14ac:dyDescent="0.35">
      <c r="A29" s="231"/>
      <c r="B29" s="404"/>
      <c r="C29" s="451" t="e">
        <f>VLOOKUP(B26,Уч!$A$2:$L$34,11,FALSE)</f>
        <v>#N/A</v>
      </c>
      <c r="D29" s="444"/>
      <c r="E29" s="509" t="s">
        <v>276</v>
      </c>
      <c r="F29" s="458" t="e">
        <f>F28</f>
        <v>#N/A</v>
      </c>
      <c r="G29" s="404" t="e">
        <f>F29+G28</f>
        <v>#N/A</v>
      </c>
      <c r="H29" s="404" t="e">
        <f>G29+H28</f>
        <v>#N/A</v>
      </c>
      <c r="I29" s="404" t="e">
        <f>H29+I28</f>
        <v>#N/A</v>
      </c>
      <c r="J29" s="459" t="e">
        <f>SUM($F28:J28)</f>
        <v>#N/A</v>
      </c>
      <c r="K29" s="404" t="e">
        <f>SUM($F28:$K28)</f>
        <v>#N/A</v>
      </c>
      <c r="L29" s="404" t="e">
        <f>K29+L28</f>
        <v>#N/A</v>
      </c>
      <c r="M29" s="404" t="e">
        <f>L29+M28</f>
        <v>#N/A</v>
      </c>
      <c r="N29" s="404" t="e">
        <f>SUM($F28:$N28)</f>
        <v>#N/A</v>
      </c>
      <c r="O29" s="404" t="e">
        <f>SUM($F28:$O28)</f>
        <v>#N/A</v>
      </c>
      <c r="P29" s="448"/>
      <c r="Q29" s="372"/>
      <c r="R29" s="372"/>
      <c r="S29" s="404">
        <f>B26</f>
        <v>10</v>
      </c>
      <c r="T29" s="287" t="e">
        <f>$A26</f>
        <v>#N/A</v>
      </c>
      <c r="U29" s="287">
        <v>4</v>
      </c>
      <c r="V29" s="287" t="e">
        <f>$A26</f>
        <v>#N/A</v>
      </c>
      <c r="W29" s="372" t="e">
        <f t="shared" ref="W29:AF29" si="2">F29</f>
        <v>#N/A</v>
      </c>
      <c r="X29" s="372" t="e">
        <f t="shared" si="2"/>
        <v>#N/A</v>
      </c>
      <c r="Y29" s="372" t="e">
        <f t="shared" si="2"/>
        <v>#N/A</v>
      </c>
      <c r="Z29" s="372" t="e">
        <f t="shared" si="2"/>
        <v>#N/A</v>
      </c>
      <c r="AA29" s="372" t="e">
        <f t="shared" si="2"/>
        <v>#N/A</v>
      </c>
      <c r="AB29" s="372" t="e">
        <f t="shared" si="2"/>
        <v>#N/A</v>
      </c>
      <c r="AC29" s="372" t="e">
        <f t="shared" si="2"/>
        <v>#N/A</v>
      </c>
      <c r="AD29" s="372" t="e">
        <f t="shared" si="2"/>
        <v>#N/A</v>
      </c>
      <c r="AE29" s="372" t="e">
        <f t="shared" si="2"/>
        <v>#N/A</v>
      </c>
      <c r="AF29" s="372" t="e">
        <f t="shared" si="2"/>
        <v>#N/A</v>
      </c>
      <c r="AH29" s="231"/>
      <c r="AI29" s="231"/>
      <c r="AJ29" s="404">
        <v>506</v>
      </c>
      <c r="AK29" s="231"/>
    </row>
    <row r="30" spans="1:37" s="280" customFormat="1" ht="13.2" customHeight="1" thickBot="1" x14ac:dyDescent="0.3">
      <c r="A30" s="460"/>
      <c r="B30" s="461"/>
      <c r="C30" s="462" t="e">
        <f>VLOOKUP(B26,Уч!$A$2:$L$34,12,FALSE)</f>
        <v>#N/A</v>
      </c>
      <c r="D30" s="467"/>
      <c r="E30" s="510" t="s">
        <v>59</v>
      </c>
      <c r="F30" s="464" t="e">
        <f>RANK(F29,$W$16:$W$80,0)</f>
        <v>#N/A</v>
      </c>
      <c r="G30" s="461" t="e">
        <f>RANK(G29,$X$16:$X$80,0)</f>
        <v>#N/A</v>
      </c>
      <c r="H30" s="461" t="e">
        <f>RANK(H29,$Y$16:$Y$80,0)</f>
        <v>#N/A</v>
      </c>
      <c r="I30" s="461" t="e">
        <f>RANK(I29,$Z$16:$Z$80,0)</f>
        <v>#N/A</v>
      </c>
      <c r="J30" s="465" t="e">
        <f>RANK(J29,$AA$16:$AA$80,0)</f>
        <v>#N/A</v>
      </c>
      <c r="K30" s="461" t="e">
        <f>RANK(K29,$AB$16:$AB$80,0)</f>
        <v>#N/A</v>
      </c>
      <c r="L30" s="461" t="e">
        <f>RANK(L29,$AC$16:$AC$80,0)</f>
        <v>#N/A</v>
      </c>
      <c r="M30" s="461" t="e">
        <f>RANK(M29,$AD$16:$AD$80,0)</f>
        <v>#N/A</v>
      </c>
      <c r="N30" s="461" t="e">
        <f>RANK(N29,$AE$16:$AE$80,0)</f>
        <v>#N/A</v>
      </c>
      <c r="O30" s="461" t="e">
        <f>RANK(O29,$AF$16:$AF$80,0)</f>
        <v>#N/A</v>
      </c>
      <c r="P30" s="466"/>
      <c r="Q30" s="442"/>
      <c r="R30" s="442"/>
      <c r="S30" s="205">
        <f>B26</f>
        <v>10</v>
      </c>
      <c r="T30" s="287" t="e">
        <f>$A26</f>
        <v>#N/A</v>
      </c>
      <c r="U30" s="287">
        <v>5</v>
      </c>
      <c r="V30" s="287" t="e">
        <f>$A26</f>
        <v>#N/A</v>
      </c>
      <c r="W30" s="449"/>
      <c r="X30" s="307"/>
      <c r="Y30" s="307"/>
      <c r="Z30" s="307"/>
      <c r="AA30" s="307"/>
      <c r="AB30" s="307"/>
      <c r="AC30" s="307"/>
      <c r="AD30" s="450"/>
      <c r="AE30" s="450"/>
      <c r="AF30" s="450"/>
      <c r="AJ30" s="404">
        <v>506</v>
      </c>
      <c r="AK30" s="231"/>
    </row>
    <row r="31" spans="1:37" s="280" customFormat="1" ht="13.2" customHeight="1" thickTop="1" x14ac:dyDescent="0.35">
      <c r="A31" s="231" t="e">
        <f>RANK(P31,$P$16:$P$80,0)</f>
        <v>#N/A</v>
      </c>
      <c r="B31" s="404">
        <v>82</v>
      </c>
      <c r="C31" s="443" t="e">
        <f>VLOOKUP(B31,Уч!$A$2:$L$34,2,FALSE)</f>
        <v>#N/A</v>
      </c>
      <c r="D31" s="444" t="e">
        <f>VLOOKUP(B31,Уч!$A$2:$L$34,3,FALSE)</f>
        <v>#N/A</v>
      </c>
      <c r="E31" s="509" t="s">
        <v>19</v>
      </c>
      <c r="F31" s="445" t="e">
        <f>VLOOKUP($B31,'100 м 1'!$C$18:$I$87,5,FALSE)</f>
        <v>#N/A</v>
      </c>
      <c r="G31" s="446" t="e">
        <f>VLOOKUP($B31,'длина 2 '!$C$16:$O$54,11,FALSE)</f>
        <v>#N/A</v>
      </c>
      <c r="H31" s="446" t="e">
        <f>VLOOKUP($B31,'ядро 2'!$C$16:$K$60,8,FALSE)</f>
        <v>#N/A</v>
      </c>
      <c r="I31" s="446" t="e">
        <f>VLOOKUP($B31,'высота 2'!$C$16:$AF$57,29,FALSE)</f>
        <v>#N/A</v>
      </c>
      <c r="J31" s="447" t="e">
        <f>VLOOKUP($B31,'4_р'!$C$17:$H$73,5,FALSE)</f>
        <v>#N/A</v>
      </c>
      <c r="K31" s="446" t="e">
        <f>VLOOKUP($B31,'1cб_р'!$C$17:$I$67,5,FALSE)</f>
        <v>#N/A</v>
      </c>
      <c r="L31" s="446" t="e">
        <f>VLOOKUP($B31,Дс_р!$C$16:$K$70,8,FALSE)</f>
        <v>#N/A</v>
      </c>
      <c r="M31" s="446" t="e">
        <f>VLOOKUP($B31,Ш_р!$C$15:$AF$69,29,FALSE)</f>
        <v>#N/A</v>
      </c>
      <c r="N31" s="446" t="e">
        <f>VLOOKUP($B31,К_р!$C$15:$K$68,8,FALSE)</f>
        <v>#N/A</v>
      </c>
      <c r="O31" s="404" t="e">
        <f>VLOOKUP($B31,'15_р'!$C$17:$H$86,5,FALSE)</f>
        <v>#N/A</v>
      </c>
      <c r="P31" s="448" t="e">
        <f>SUM(F33:O33)</f>
        <v>#N/A</v>
      </c>
      <c r="Q31" s="231" t="e">
        <f>LOOKUP(P31,Y$1:AH$1,Y$2:AH$2)</f>
        <v>#N/A</v>
      </c>
      <c r="R31" s="404" t="e">
        <f>AH31+AI31+5</f>
        <v>#N/A</v>
      </c>
      <c r="S31" s="404">
        <f>B31</f>
        <v>82</v>
      </c>
      <c r="T31" s="287" t="e">
        <f>$A31</f>
        <v>#N/A</v>
      </c>
      <c r="U31" s="287">
        <v>1</v>
      </c>
      <c r="V31" s="287" t="e">
        <f>$A31</f>
        <v>#N/A</v>
      </c>
      <c r="W31" s="449"/>
      <c r="X31" s="307"/>
      <c r="Y31" s="307"/>
      <c r="Z31" s="307"/>
      <c r="AA31" s="307"/>
      <c r="AB31" s="307"/>
      <c r="AC31" s="307"/>
      <c r="AD31" s="450"/>
      <c r="AE31" s="450"/>
      <c r="AF31" s="450"/>
      <c r="AH31" s="280" t="e">
        <f>IF(AND(T31&gt;16,P31&gt;=6200),"1",LOOKUP(T31,Y$5:AO$5,Y$6:AO$6))</f>
        <v>#N/A</v>
      </c>
      <c r="AI31" s="280" t="e">
        <f>LOOKUP(Q31,Y$8:AD$8,Y$9:AD$9)</f>
        <v>#N/A</v>
      </c>
      <c r="AJ31" s="404">
        <v>54</v>
      </c>
      <c r="AK31" s="231"/>
    </row>
    <row r="32" spans="1:37" s="280" customFormat="1" ht="13.2" customHeight="1" x14ac:dyDescent="0.35">
      <c r="A32" s="231"/>
      <c r="B32" s="404"/>
      <c r="C32" s="451" t="e">
        <f>VLOOKUP(B31,Уч!$A$2:$L$34,5,FALSE)</f>
        <v>#N/A</v>
      </c>
      <c r="D32" s="444" t="e">
        <f>VLOOKUP(B31,Уч!$A$2:$L$34,4,FALSE)</f>
        <v>#N/A</v>
      </c>
      <c r="E32" s="509" t="s">
        <v>25</v>
      </c>
      <c r="F32" s="453" t="e">
        <f>VLOOKUP($B31,'100 м 1'!$C$18:$I$87,6,FALSE)</f>
        <v>#N/A</v>
      </c>
      <c r="G32" s="454" t="e">
        <f>VLOOKUP($B31,'длина 2 '!$C$16:$O$54,12,FALSE)</f>
        <v>#N/A</v>
      </c>
      <c r="H32" s="404"/>
      <c r="I32" s="454"/>
      <c r="J32" s="455"/>
      <c r="K32" s="454" t="e">
        <f>VLOOKUP($B31,'1cб_р'!$C$17:$I$67,6,FALSE)</f>
        <v>#N/A</v>
      </c>
      <c r="L32" s="454"/>
      <c r="M32" s="454"/>
      <c r="N32" s="404"/>
      <c r="O32" s="404"/>
      <c r="P32" s="448"/>
      <c r="Q32" s="456"/>
      <c r="R32" s="404" t="e">
        <f>CONCATENATE(AH31,"+",AI31,"+",5)</f>
        <v>#N/A</v>
      </c>
      <c r="S32" s="404">
        <f>B31</f>
        <v>82</v>
      </c>
      <c r="T32" s="287" t="e">
        <f>$A31</f>
        <v>#N/A</v>
      </c>
      <c r="U32" s="287">
        <v>2</v>
      </c>
      <c r="V32" s="287" t="e">
        <f>$A31</f>
        <v>#N/A</v>
      </c>
      <c r="W32" s="449"/>
      <c r="X32" s="307"/>
      <c r="Y32" s="307"/>
      <c r="Z32" s="307"/>
      <c r="AA32" s="307"/>
      <c r="AB32" s="307"/>
      <c r="AC32" s="307"/>
      <c r="AD32" s="450"/>
      <c r="AE32" s="450"/>
      <c r="AF32" s="450"/>
      <c r="AH32" s="231"/>
      <c r="AI32" s="231"/>
      <c r="AJ32" s="404">
        <v>54</v>
      </c>
      <c r="AK32" s="231"/>
    </row>
    <row r="33" spans="1:50" s="280" customFormat="1" ht="13.2" customHeight="1" x14ac:dyDescent="0.35">
      <c r="A33" s="231"/>
      <c r="B33" s="404"/>
      <c r="C33" s="457" t="e">
        <f>VLOOKUP(B31,Уч!$A$2:$L$34,7,FALSE)</f>
        <v>#N/A</v>
      </c>
      <c r="D33" s="444"/>
      <c r="E33" s="509" t="s">
        <v>29</v>
      </c>
      <c r="F33" s="458" t="e">
        <f>VLOOKUP($B31,'100 м 1'!$C$18:$I$87,7,FALSE)</f>
        <v>#N/A</v>
      </c>
      <c r="G33" s="404" t="e">
        <f>VLOOKUP($B31,'длина 2 '!$C$16:$O$54,13,FALSE)</f>
        <v>#N/A</v>
      </c>
      <c r="H33" s="404" t="e">
        <f>VLOOKUP($B31,'ядро 2'!$C$16:$K$60,9,FALSE)</f>
        <v>#N/A</v>
      </c>
      <c r="I33" s="404" t="e">
        <f>VLOOKUP($B31,'высота 2'!$C$16:$AF$57,30,)</f>
        <v>#N/A</v>
      </c>
      <c r="J33" s="459" t="e">
        <f>VLOOKUP($B31,'4_р'!$C$17:$H$73,6,FALSE)</f>
        <v>#N/A</v>
      </c>
      <c r="K33" s="404" t="e">
        <f>VLOOKUP($B31,'1cб_р'!$C$17:$I$67,7,FALSE)</f>
        <v>#N/A</v>
      </c>
      <c r="L33" s="404" t="e">
        <f>VLOOKUP($B31,Дс_р!$C$16:$K$70,9,FALSE)</f>
        <v>#N/A</v>
      </c>
      <c r="M33" s="404" t="e">
        <f>VLOOKUP($B31,Ш_р!$C$15:$AF$69,30,FALSE)</f>
        <v>#N/A</v>
      </c>
      <c r="N33" s="404" t="e">
        <f>VLOOKUP($B31,К_р!$C$15:$K$68,9,FALSE)</f>
        <v>#N/A</v>
      </c>
      <c r="O33" s="404" t="e">
        <f>VLOOKUP($B31,'15_р'!$C$17:$H$86,6,FALSE)</f>
        <v>#N/A</v>
      </c>
      <c r="P33" s="448"/>
      <c r="Q33" s="372"/>
      <c r="R33" s="372"/>
      <c r="S33" s="404">
        <f>B31</f>
        <v>82</v>
      </c>
      <c r="T33" s="287" t="e">
        <f>$A31</f>
        <v>#N/A</v>
      </c>
      <c r="U33" s="287">
        <v>3</v>
      </c>
      <c r="V33" s="287" t="e">
        <f>$A31</f>
        <v>#N/A</v>
      </c>
      <c r="W33" s="449"/>
      <c r="X33" s="307"/>
      <c r="Y33" s="307"/>
      <c r="Z33" s="307"/>
      <c r="AA33" s="307"/>
      <c r="AB33" s="307"/>
      <c r="AC33" s="307"/>
      <c r="AD33" s="450"/>
      <c r="AE33" s="450"/>
      <c r="AF33" s="450"/>
      <c r="AH33" s="231"/>
      <c r="AI33" s="231"/>
      <c r="AJ33" s="404">
        <v>54</v>
      </c>
      <c r="AK33" s="231"/>
    </row>
    <row r="34" spans="1:50" s="280" customFormat="1" ht="13.2" customHeight="1" x14ac:dyDescent="0.35">
      <c r="A34" s="231"/>
      <c r="B34" s="404"/>
      <c r="C34" s="451" t="e">
        <f>VLOOKUP(B31,Уч!$A$2:$L$34,11,FALSE)</f>
        <v>#N/A</v>
      </c>
      <c r="D34" s="444"/>
      <c r="E34" s="509" t="s">
        <v>276</v>
      </c>
      <c r="F34" s="458" t="e">
        <f>F33</f>
        <v>#N/A</v>
      </c>
      <c r="G34" s="404" t="e">
        <f>F34+G33</f>
        <v>#N/A</v>
      </c>
      <c r="H34" s="404" t="e">
        <f>G34+H33</f>
        <v>#N/A</v>
      </c>
      <c r="I34" s="404" t="e">
        <f>H34+I33</f>
        <v>#N/A</v>
      </c>
      <c r="J34" s="459" t="e">
        <f>SUM($F33:J33)</f>
        <v>#N/A</v>
      </c>
      <c r="K34" s="404" t="e">
        <f>SUM($F33:$K33)</f>
        <v>#N/A</v>
      </c>
      <c r="L34" s="404" t="e">
        <f>K34+L33</f>
        <v>#N/A</v>
      </c>
      <c r="M34" s="404" t="e">
        <f>L34+M33</f>
        <v>#N/A</v>
      </c>
      <c r="N34" s="404" t="e">
        <f>SUM($F33:$N33)</f>
        <v>#N/A</v>
      </c>
      <c r="O34" s="404" t="e">
        <f>SUM($F33:$O33)</f>
        <v>#N/A</v>
      </c>
      <c r="P34" s="448"/>
      <c r="Q34" s="372"/>
      <c r="R34" s="372"/>
      <c r="S34" s="404">
        <f>B31</f>
        <v>82</v>
      </c>
      <c r="T34" s="287" t="e">
        <f>$A31</f>
        <v>#N/A</v>
      </c>
      <c r="U34" s="287">
        <v>4</v>
      </c>
      <c r="V34" s="287" t="e">
        <f>$A31</f>
        <v>#N/A</v>
      </c>
      <c r="W34" s="372" t="e">
        <f t="shared" ref="W34:AF34" si="3">F34</f>
        <v>#N/A</v>
      </c>
      <c r="X34" s="372" t="e">
        <f t="shared" si="3"/>
        <v>#N/A</v>
      </c>
      <c r="Y34" s="372" t="e">
        <f t="shared" si="3"/>
        <v>#N/A</v>
      </c>
      <c r="Z34" s="372" t="e">
        <f t="shared" si="3"/>
        <v>#N/A</v>
      </c>
      <c r="AA34" s="372" t="e">
        <f t="shared" si="3"/>
        <v>#N/A</v>
      </c>
      <c r="AB34" s="372" t="e">
        <f t="shared" si="3"/>
        <v>#N/A</v>
      </c>
      <c r="AC34" s="372" t="e">
        <f t="shared" si="3"/>
        <v>#N/A</v>
      </c>
      <c r="AD34" s="372" t="e">
        <f t="shared" si="3"/>
        <v>#N/A</v>
      </c>
      <c r="AE34" s="372" t="e">
        <f t="shared" si="3"/>
        <v>#N/A</v>
      </c>
      <c r="AF34" s="372" t="e">
        <f t="shared" si="3"/>
        <v>#N/A</v>
      </c>
      <c r="AH34" s="231"/>
      <c r="AI34" s="231"/>
      <c r="AJ34" s="404">
        <v>54</v>
      </c>
      <c r="AK34" s="231"/>
    </row>
    <row r="35" spans="1:50" s="280" customFormat="1" ht="13.2" customHeight="1" thickBot="1" x14ac:dyDescent="0.3">
      <c r="A35" s="460"/>
      <c r="B35" s="461"/>
      <c r="C35" s="462" t="e">
        <f>VLOOKUP(B31,Уч!$A$2:$L$34,12,FALSE)</f>
        <v>#N/A</v>
      </c>
      <c r="D35" s="467"/>
      <c r="E35" s="510" t="s">
        <v>59</v>
      </c>
      <c r="F35" s="464" t="e">
        <f>RANK(F34,$W$16:$W$80,0)</f>
        <v>#N/A</v>
      </c>
      <c r="G35" s="461" t="e">
        <f>RANK(G34,$X$16:$X$80,0)</f>
        <v>#N/A</v>
      </c>
      <c r="H35" s="461" t="e">
        <f>RANK(H34,$Y$16:$Y$80,0)</f>
        <v>#N/A</v>
      </c>
      <c r="I35" s="461" t="e">
        <f>RANK(I34,$Z$16:$Z$80,0)</f>
        <v>#N/A</v>
      </c>
      <c r="J35" s="465" t="e">
        <f>RANK(J34,$AA$16:$AA$80,0)</f>
        <v>#N/A</v>
      </c>
      <c r="K35" s="461" t="e">
        <f>RANK(K34,$AB$16:$AB$80,0)</f>
        <v>#N/A</v>
      </c>
      <c r="L35" s="461" t="e">
        <f>RANK(L34,$AC$16:$AC$80,0)</f>
        <v>#N/A</v>
      </c>
      <c r="M35" s="461" t="e">
        <f>RANK(M34,$AD$16:$AD$80,0)</f>
        <v>#N/A</v>
      </c>
      <c r="N35" s="461" t="e">
        <f>RANK(N34,$AE$16:$AE$80,0)</f>
        <v>#N/A</v>
      </c>
      <c r="O35" s="461" t="e">
        <f>RANK(O34,$AF$16:$AF$80,0)</f>
        <v>#N/A</v>
      </c>
      <c r="P35" s="466"/>
      <c r="Q35" s="442"/>
      <c r="R35" s="442"/>
      <c r="S35" s="205">
        <f>B31</f>
        <v>82</v>
      </c>
      <c r="T35" s="287" t="e">
        <f>$A31</f>
        <v>#N/A</v>
      </c>
      <c r="U35" s="287">
        <v>5</v>
      </c>
      <c r="V35" s="287" t="e">
        <f>$A31</f>
        <v>#N/A</v>
      </c>
      <c r="W35" s="449"/>
      <c r="X35" s="307"/>
      <c r="Y35" s="307"/>
      <c r="Z35" s="307"/>
      <c r="AA35" s="307"/>
      <c r="AB35" s="307"/>
      <c r="AC35" s="307"/>
      <c r="AD35" s="450"/>
      <c r="AE35" s="450"/>
      <c r="AF35" s="450"/>
      <c r="AH35" s="231"/>
      <c r="AI35" s="231"/>
      <c r="AJ35" s="404">
        <v>54</v>
      </c>
      <c r="AK35" s="231"/>
    </row>
    <row r="36" spans="1:50" s="280" customFormat="1" ht="13.2" customHeight="1" thickTop="1" x14ac:dyDescent="0.35">
      <c r="A36" s="231">
        <v>5</v>
      </c>
      <c r="B36" s="404">
        <v>33</v>
      </c>
      <c r="C36" s="443" t="e">
        <f>VLOOKUP(B36,Уч!$A$2:$L$34,2,FALSE)</f>
        <v>#N/A</v>
      </c>
      <c r="D36" s="444" t="e">
        <f>VLOOKUP(B36,Уч!$A$2:$L$34,3,FALSE)</f>
        <v>#N/A</v>
      </c>
      <c r="E36" s="509" t="s">
        <v>19</v>
      </c>
      <c r="F36" s="445" t="e">
        <f>VLOOKUP($B36,'100 м 1'!$C$18:$I$87,5,FALSE)</f>
        <v>#N/A</v>
      </c>
      <c r="G36" s="446" t="e">
        <f>VLOOKUP($B36,'длина 2 '!$C$16:$O$54,11,FALSE)</f>
        <v>#N/A</v>
      </c>
      <c r="H36" s="446" t="e">
        <f>VLOOKUP($B36,'ядро 2'!$C$16:$K$60,8,FALSE)</f>
        <v>#N/A</v>
      </c>
      <c r="I36" s="446" t="e">
        <f>VLOOKUP($B36,'высота 2'!$C$16:$AF$57,29,FALSE)</f>
        <v>#N/A</v>
      </c>
      <c r="J36" s="447" t="e">
        <f>VLOOKUP($B36,'4_р'!$C$17:$H$73,5,FALSE)</f>
        <v>#N/A</v>
      </c>
      <c r="K36" s="446" t="e">
        <f>VLOOKUP($B36,'1cб_р'!$C$17:$I$67,5,FALSE)</f>
        <v>#N/A</v>
      </c>
      <c r="L36" s="446" t="e">
        <f>VLOOKUP($B36,Дс_р!$C$16:$K$70,8,FALSE)</f>
        <v>#N/A</v>
      </c>
      <c r="M36" s="446">
        <f>VLOOKUP($B36,Ш_р!$C$15:$AF$69,29,FALSE)</f>
        <v>0</v>
      </c>
      <c r="N36" s="446">
        <f>VLOOKUP($B36,К_р!$C$15:$K$68,8,FALSE)</f>
        <v>52.92</v>
      </c>
      <c r="O36" s="404" t="e">
        <f>VLOOKUP($B36,'15_р'!$C$17:$H$86,5,FALSE)</f>
        <v>#N/A</v>
      </c>
      <c r="P36" s="448" t="e">
        <f>SUM(F38:O38)</f>
        <v>#N/A</v>
      </c>
      <c r="Q36" s="231" t="e">
        <f>LOOKUP(P36,Y$1:AH$1,Y$2:AH$2)</f>
        <v>#N/A</v>
      </c>
      <c r="R36" s="404" t="e">
        <f>AH36+AI36+5</f>
        <v>#N/A</v>
      </c>
      <c r="S36" s="404">
        <f>B36</f>
        <v>33</v>
      </c>
      <c r="T36" s="287">
        <f>$A36</f>
        <v>5</v>
      </c>
      <c r="U36" s="287">
        <v>1</v>
      </c>
      <c r="V36" s="287" t="s">
        <v>162</v>
      </c>
      <c r="W36" s="307"/>
      <c r="X36" s="307"/>
      <c r="Y36" s="307"/>
      <c r="Z36" s="307"/>
      <c r="AA36" s="307"/>
      <c r="AB36" s="307"/>
      <c r="AC36" s="307"/>
      <c r="AD36" s="450"/>
      <c r="AE36" s="450"/>
      <c r="AF36" s="450"/>
      <c r="AH36" s="280" t="e">
        <f>IF(AND(T36&gt;16,P36&gt;=6200),"1",LOOKUP(T36,Y$5:AO$5,Y$6:AO$6))</f>
        <v>#N/A</v>
      </c>
      <c r="AI36" s="280" t="e">
        <f>LOOKUP(Q36,Y$8:AD$8,Y$9:AD$9)</f>
        <v>#N/A</v>
      </c>
      <c r="AJ36" s="404">
        <v>103</v>
      </c>
      <c r="AK36" s="287"/>
    </row>
    <row r="37" spans="1:50" s="280" customFormat="1" ht="13.2" customHeight="1" x14ac:dyDescent="0.35">
      <c r="A37" s="231"/>
      <c r="B37" s="404"/>
      <c r="C37" s="451" t="e">
        <f>VLOOKUP(B36,Уч!$A$2:$L$34,5,FALSE)</f>
        <v>#N/A</v>
      </c>
      <c r="D37" s="452" t="e">
        <f>VLOOKUP(B36,Уч!$A$2:$L$34,4,FALSE)</f>
        <v>#N/A</v>
      </c>
      <c r="E37" s="509" t="s">
        <v>25</v>
      </c>
      <c r="F37" s="453" t="e">
        <f>VLOOKUP($B36,'100 м 1'!$C$18:$I$87,6,FALSE)</f>
        <v>#N/A</v>
      </c>
      <c r="G37" s="454" t="e">
        <f>VLOOKUP($B36,'длина 2 '!$C$16:$O$54,12,FALSE)</f>
        <v>#N/A</v>
      </c>
      <c r="H37" s="404"/>
      <c r="I37" s="454"/>
      <c r="J37" s="455"/>
      <c r="K37" s="454" t="e">
        <f>VLOOKUP($B36,'1cб_р'!$C$17:$I$67,6,FALSE)</f>
        <v>#N/A</v>
      </c>
      <c r="L37" s="454"/>
      <c r="M37" s="454"/>
      <c r="N37" s="404"/>
      <c r="O37" s="404"/>
      <c r="P37" s="448"/>
      <c r="Q37" s="456"/>
      <c r="R37" s="404" t="e">
        <f>CONCATENATE(AH36,"+",AI36,"+",5)</f>
        <v>#N/A</v>
      </c>
      <c r="S37" s="404">
        <f>B36</f>
        <v>33</v>
      </c>
      <c r="T37" s="287">
        <f>$A36</f>
        <v>5</v>
      </c>
      <c r="U37" s="287">
        <v>2</v>
      </c>
      <c r="V37" s="287" t="s">
        <v>162</v>
      </c>
      <c r="W37" s="307"/>
      <c r="X37" s="307"/>
      <c r="Y37" s="307"/>
      <c r="Z37" s="307"/>
      <c r="AA37" s="307"/>
      <c r="AB37" s="307"/>
      <c r="AC37" s="307"/>
      <c r="AD37" s="450"/>
      <c r="AE37" s="450"/>
      <c r="AF37" s="450"/>
      <c r="AH37" s="231"/>
      <c r="AI37" s="231"/>
      <c r="AJ37" s="404">
        <v>103</v>
      </c>
      <c r="AK37" s="287"/>
    </row>
    <row r="38" spans="1:50" s="280" customFormat="1" ht="13.2" customHeight="1" x14ac:dyDescent="0.35">
      <c r="A38" s="231"/>
      <c r="B38" s="404"/>
      <c r="C38" s="457" t="e">
        <f>VLOOKUP(B36,Уч!$A$2:$L$34,7,FALSE)</f>
        <v>#N/A</v>
      </c>
      <c r="D38" s="452"/>
      <c r="E38" s="509" t="s">
        <v>29</v>
      </c>
      <c r="F38" s="458" t="e">
        <f>VLOOKUP($B36,'100 м 1'!$C$18:$I$87,7,FALSE)</f>
        <v>#N/A</v>
      </c>
      <c r="G38" s="404" t="e">
        <f>VLOOKUP($B36,'длина 2 '!$C$16:$O$54,13,FALSE)</f>
        <v>#N/A</v>
      </c>
      <c r="H38" s="404" t="e">
        <f>VLOOKUP($B36,'ядро 2'!$C$16:$K$60,9,FALSE)</f>
        <v>#N/A</v>
      </c>
      <c r="I38" s="404" t="e">
        <f>VLOOKUP($B36,'высота 2'!$C$16:$AF$57,30,)</f>
        <v>#N/A</v>
      </c>
      <c r="J38" s="459" t="e">
        <f>VLOOKUP($B36,'4_р'!$C$17:$H$73,6,FALSE)</f>
        <v>#N/A</v>
      </c>
      <c r="K38" s="404" t="e">
        <f>VLOOKUP($B36,'1cб_р'!$C$17:$I$67,7,FALSE)</f>
        <v>#N/A</v>
      </c>
      <c r="L38" s="404" t="e">
        <f>VLOOKUP($B36,Дс_р!$C$16:$K$70,9,FALSE)</f>
        <v>#N/A</v>
      </c>
      <c r="M38" s="404">
        <f>VLOOKUP($B36,Ш_р!$C$15:$AF$69,30,FALSE)</f>
        <v>0</v>
      </c>
      <c r="N38" s="404">
        <f>VLOOKUP($B36,К_р!$C$15:$K$68,9,FALSE)</f>
        <v>632</v>
      </c>
      <c r="O38" s="404" t="e">
        <f>VLOOKUP($B36,'15_р'!$C$17:$H$86,6,FALSE)</f>
        <v>#N/A</v>
      </c>
      <c r="P38" s="448"/>
      <c r="Q38" s="291"/>
      <c r="R38" s="372"/>
      <c r="S38" s="404">
        <f>B36</f>
        <v>33</v>
      </c>
      <c r="T38" s="287">
        <f>$A36</f>
        <v>5</v>
      </c>
      <c r="U38" s="287">
        <v>3</v>
      </c>
      <c r="V38" s="287" t="s">
        <v>162</v>
      </c>
      <c r="W38" s="307"/>
      <c r="X38" s="307"/>
      <c r="Y38" s="307"/>
      <c r="Z38" s="307"/>
      <c r="AA38" s="307"/>
      <c r="AB38" s="307"/>
      <c r="AC38" s="307"/>
      <c r="AD38" s="450"/>
      <c r="AE38" s="450"/>
      <c r="AF38" s="450"/>
      <c r="AH38" s="231"/>
      <c r="AI38" s="231"/>
      <c r="AJ38" s="404">
        <v>103</v>
      </c>
      <c r="AK38" s="287"/>
    </row>
    <row r="39" spans="1:50" s="280" customFormat="1" ht="13.2" customHeight="1" x14ac:dyDescent="0.35">
      <c r="A39" s="231"/>
      <c r="B39" s="404"/>
      <c r="C39" s="451" t="e">
        <f>VLOOKUP(B36,Уч!$A$2:$L$34,11,FALSE)</f>
        <v>#N/A</v>
      </c>
      <c r="D39" s="452"/>
      <c r="E39" s="509" t="s">
        <v>276</v>
      </c>
      <c r="F39" s="458" t="e">
        <f>F38</f>
        <v>#N/A</v>
      </c>
      <c r="G39" s="404" t="e">
        <f>F39+G38</f>
        <v>#N/A</v>
      </c>
      <c r="H39" s="404" t="e">
        <f>G39+H38</f>
        <v>#N/A</v>
      </c>
      <c r="I39" s="404" t="e">
        <f>H39+I38</f>
        <v>#N/A</v>
      </c>
      <c r="J39" s="459" t="e">
        <f>SUM($F38:J38)</f>
        <v>#N/A</v>
      </c>
      <c r="K39" s="404" t="e">
        <f>SUM($F38:$K38)</f>
        <v>#N/A</v>
      </c>
      <c r="L39" s="404" t="e">
        <f>K39+L38</f>
        <v>#N/A</v>
      </c>
      <c r="M39" s="404" t="e">
        <f>L39+M38</f>
        <v>#N/A</v>
      </c>
      <c r="N39" s="404" t="e">
        <f>SUM($F38:$N38)</f>
        <v>#N/A</v>
      </c>
      <c r="O39" s="404" t="e">
        <f>SUM($F38:$O38)</f>
        <v>#N/A</v>
      </c>
      <c r="P39" s="448"/>
      <c r="Q39" s="291"/>
      <c r="R39" s="372"/>
      <c r="S39" s="404">
        <f>B36</f>
        <v>33</v>
      </c>
      <c r="T39" s="287">
        <f>$A36</f>
        <v>5</v>
      </c>
      <c r="U39" s="287">
        <v>4</v>
      </c>
      <c r="V39" s="287" t="s">
        <v>162</v>
      </c>
      <c r="W39" s="372" t="e">
        <f t="shared" ref="W39:AF39" si="4">F39</f>
        <v>#N/A</v>
      </c>
      <c r="X39" s="372" t="e">
        <f t="shared" si="4"/>
        <v>#N/A</v>
      </c>
      <c r="Y39" s="372" t="e">
        <f t="shared" si="4"/>
        <v>#N/A</v>
      </c>
      <c r="Z39" s="372" t="e">
        <f t="shared" si="4"/>
        <v>#N/A</v>
      </c>
      <c r="AA39" s="372" t="e">
        <f t="shared" si="4"/>
        <v>#N/A</v>
      </c>
      <c r="AB39" s="372" t="e">
        <f t="shared" si="4"/>
        <v>#N/A</v>
      </c>
      <c r="AC39" s="372" t="e">
        <f t="shared" si="4"/>
        <v>#N/A</v>
      </c>
      <c r="AD39" s="372" t="e">
        <f t="shared" si="4"/>
        <v>#N/A</v>
      </c>
      <c r="AE39" s="372" t="e">
        <f t="shared" si="4"/>
        <v>#N/A</v>
      </c>
      <c r="AF39" s="372" t="e">
        <f t="shared" si="4"/>
        <v>#N/A</v>
      </c>
      <c r="AH39" s="231"/>
      <c r="AI39" s="231"/>
      <c r="AJ39" s="404">
        <v>103</v>
      </c>
      <c r="AK39" s="287"/>
    </row>
    <row r="40" spans="1:50" s="280" customFormat="1" ht="13.2" customHeight="1" thickBot="1" x14ac:dyDescent="0.3">
      <c r="A40" s="460"/>
      <c r="B40" s="461"/>
      <c r="C40" s="462" t="e">
        <f>VLOOKUP(B36,Уч!$A$2:$L$34,12,FALSE)</f>
        <v>#N/A</v>
      </c>
      <c r="D40" s="463"/>
      <c r="E40" s="510" t="s">
        <v>59</v>
      </c>
      <c r="F40" s="464" t="e">
        <f>RANK(F39,$W$16:$W$80,0)</f>
        <v>#N/A</v>
      </c>
      <c r="G40" s="461" t="e">
        <f>RANK(G39,$X$16:$X$80,0)</f>
        <v>#N/A</v>
      </c>
      <c r="H40" s="461" t="e">
        <f>RANK(H39,$Y$16:$Y$80,0)</f>
        <v>#N/A</v>
      </c>
      <c r="I40" s="461" t="e">
        <f>RANK(I39,$Z$16:$Z$80,0)</f>
        <v>#N/A</v>
      </c>
      <c r="J40" s="465" t="e">
        <f>RANK(J39,$AA$16:$AA$80,0)</f>
        <v>#N/A</v>
      </c>
      <c r="K40" s="461" t="e">
        <f>RANK(K39,$AB$16:$AB$80,0)</f>
        <v>#N/A</v>
      </c>
      <c r="L40" s="461" t="e">
        <f>RANK(L39,$AC$16:$AC$80,0)</f>
        <v>#N/A</v>
      </c>
      <c r="M40" s="461" t="e">
        <f>RANK(M39,$AD$16:$AD$80,0)</f>
        <v>#N/A</v>
      </c>
      <c r="N40" s="461" t="e">
        <f>RANK(N39,$AE$16:$AE$80,0)</f>
        <v>#N/A</v>
      </c>
      <c r="O40" s="461" t="e">
        <f>RANK(O39,$AF$16:$AF$80,0)</f>
        <v>#N/A</v>
      </c>
      <c r="P40" s="466"/>
      <c r="Q40" s="442"/>
      <c r="R40" s="442"/>
      <c r="S40" s="205">
        <f>B36</f>
        <v>33</v>
      </c>
      <c r="T40" s="287">
        <f>$A36</f>
        <v>5</v>
      </c>
      <c r="U40" s="287">
        <v>5</v>
      </c>
      <c r="V40" s="287" t="s">
        <v>162</v>
      </c>
      <c r="W40" s="449"/>
      <c r="X40" s="307"/>
      <c r="Y40" s="307"/>
      <c r="Z40" s="307"/>
      <c r="AA40" s="307"/>
      <c r="AB40" s="307"/>
      <c r="AC40" s="307"/>
      <c r="AD40" s="450"/>
      <c r="AE40" s="450"/>
      <c r="AF40" s="450"/>
      <c r="AH40" s="231"/>
      <c r="AI40" s="231"/>
      <c r="AJ40" s="404">
        <v>103</v>
      </c>
      <c r="AK40" s="231"/>
    </row>
    <row r="41" spans="1:50" s="280" customFormat="1" ht="13.2" customHeight="1" thickTop="1" x14ac:dyDescent="0.35">
      <c r="A41" s="484">
        <v>6</v>
      </c>
      <c r="B41" s="485">
        <v>16</v>
      </c>
      <c r="C41" s="486" t="e">
        <f>VLOOKUP(B41,Уч!$A$2:$L$34,2,FALSE)</f>
        <v>#N/A</v>
      </c>
      <c r="D41" s="487" t="e">
        <f>VLOOKUP(B41,Уч!$A$2:$L$34,3,FALSE)</f>
        <v>#N/A</v>
      </c>
      <c r="E41" s="509" t="s">
        <v>19</v>
      </c>
      <c r="F41" s="488" t="e">
        <f>VLOOKUP($B41,'100 м 1'!$C$18:$I$87,5,FALSE)</f>
        <v>#N/A</v>
      </c>
      <c r="G41" s="489" t="e">
        <f>VLOOKUP($B41,'длина 2 '!$C$16:$O$54,11,FALSE)</f>
        <v>#N/A</v>
      </c>
      <c r="H41" s="489" t="e">
        <f>VLOOKUP($B41,'ядро 2'!$C$16:$K$60,8,FALSE)</f>
        <v>#N/A</v>
      </c>
      <c r="I41" s="489" t="e">
        <f>VLOOKUP($B41,'высота 2'!$C$16:$AF$57,29,FALSE)</f>
        <v>#N/A</v>
      </c>
      <c r="J41" s="490" t="e">
        <f>VLOOKUP($B41,'4_р'!$C$17:$H$73,5,FALSE)</f>
        <v>#N/A</v>
      </c>
      <c r="K41" s="489" t="e">
        <f>VLOOKUP($B41,'1cб_р'!$C$17:$I$67,5,FALSE)</f>
        <v>#N/A</v>
      </c>
      <c r="L41" s="489" t="e">
        <f>VLOOKUP($B41,Дс_р!$C$16:$K$70,8,FALSE)</f>
        <v>#N/A</v>
      </c>
      <c r="M41" s="489">
        <f>VLOOKUP($B41,Ш_р!$C$15:$AF$69,29,FALSE)</f>
        <v>4.5</v>
      </c>
      <c r="N41" s="489" t="e">
        <f>VLOOKUP($B41,К_р!$C$15:$K$68,8,FALSE)</f>
        <v>#N/A</v>
      </c>
      <c r="O41" s="485" t="e">
        <f>VLOOKUP($B41,'15_р'!$C$17:$H$86,5,FALSE)</f>
        <v>#N/A</v>
      </c>
      <c r="P41" s="491" t="e">
        <f>SUM(F43:O43)</f>
        <v>#N/A</v>
      </c>
      <c r="Q41" s="231" t="e">
        <f>LOOKUP(P41,Y$1:AH$1,Y$2:AH$2)</f>
        <v>#N/A</v>
      </c>
      <c r="R41" s="404" t="e">
        <f>AH41+AI41+5</f>
        <v>#N/A</v>
      </c>
      <c r="S41" s="404">
        <f>B41</f>
        <v>16</v>
      </c>
      <c r="T41" s="287">
        <f>$A41</f>
        <v>6</v>
      </c>
      <c r="U41" s="287">
        <v>1</v>
      </c>
      <c r="V41" s="287">
        <f>$A41</f>
        <v>6</v>
      </c>
      <c r="W41" s="449"/>
      <c r="X41" s="307"/>
      <c r="Y41" s="307"/>
      <c r="Z41" s="307"/>
      <c r="AA41" s="307"/>
      <c r="AB41" s="307"/>
      <c r="AC41" s="307"/>
      <c r="AD41" s="450"/>
      <c r="AE41" s="450"/>
      <c r="AF41" s="450"/>
      <c r="AH41" s="280" t="e">
        <f>IF(AND(T41&gt;16,P41&gt;=6200),"1",LOOKUP(T41,Y$5:AO$5,Y$6:AO$6))</f>
        <v>#N/A</v>
      </c>
      <c r="AI41" s="280" t="e">
        <f>LOOKUP(Q41,Y$8:AD$8,Y$9:AD$9)</f>
        <v>#N/A</v>
      </c>
      <c r="AJ41" s="404">
        <v>315</v>
      </c>
      <c r="AK41" s="231"/>
    </row>
    <row r="42" spans="1:50" s="280" customFormat="1" ht="13.2" customHeight="1" x14ac:dyDescent="0.35">
      <c r="A42" s="231"/>
      <c r="B42" s="404"/>
      <c r="C42" s="451" t="e">
        <f>VLOOKUP(B41,Уч!$A$2:$L$34,5,FALSE)</f>
        <v>#N/A</v>
      </c>
      <c r="D42" s="483" t="e">
        <f>VLOOKUP(B41,Уч!$A$2:$L$34,4,FALSE)</f>
        <v>#N/A</v>
      </c>
      <c r="E42" s="509" t="s">
        <v>25</v>
      </c>
      <c r="F42" s="453" t="e">
        <f>VLOOKUP($B41,'100 м 1'!$C$18:$I$87,6,FALSE)</f>
        <v>#N/A</v>
      </c>
      <c r="G42" s="454" t="e">
        <f>VLOOKUP($B41,'длина 2 '!$C$16:$O$54,12,FALSE)</f>
        <v>#N/A</v>
      </c>
      <c r="H42" s="404"/>
      <c r="I42" s="454"/>
      <c r="J42" s="455"/>
      <c r="K42" s="454" t="e">
        <f>VLOOKUP($B41,'1cб_р'!$C$17:$I$67,6,FALSE)</f>
        <v>#N/A</v>
      </c>
      <c r="L42" s="454"/>
      <c r="M42" s="454"/>
      <c r="N42" s="404"/>
      <c r="O42" s="404"/>
      <c r="P42" s="448"/>
      <c r="Q42" s="456"/>
      <c r="R42" s="404" t="e">
        <f>CONCATENATE(AH41,"+",AI41,"+",5)</f>
        <v>#N/A</v>
      </c>
      <c r="S42" s="404">
        <f>B41</f>
        <v>16</v>
      </c>
      <c r="T42" s="287">
        <f>$A41</f>
        <v>6</v>
      </c>
      <c r="U42" s="287">
        <v>2</v>
      </c>
      <c r="V42" s="287">
        <f>$A41</f>
        <v>6</v>
      </c>
      <c r="W42" s="449"/>
      <c r="X42" s="307"/>
      <c r="Y42" s="307"/>
      <c r="Z42" s="307"/>
      <c r="AA42" s="307"/>
      <c r="AB42" s="307"/>
      <c r="AC42" s="307"/>
      <c r="AD42" s="450"/>
      <c r="AE42" s="450"/>
      <c r="AF42" s="450"/>
      <c r="AH42" s="231"/>
      <c r="AI42" s="231"/>
      <c r="AJ42" s="404">
        <v>315</v>
      </c>
      <c r="AK42" s="231"/>
    </row>
    <row r="43" spans="1:50" s="280" customFormat="1" ht="13.2" customHeight="1" x14ac:dyDescent="0.35">
      <c r="A43" s="231"/>
      <c r="B43" s="404"/>
      <c r="C43" s="457" t="e">
        <f>VLOOKUP(B41,Уч!$A$2:$L$34,7,FALSE)</f>
        <v>#N/A</v>
      </c>
      <c r="D43" s="444"/>
      <c r="E43" s="509" t="s">
        <v>29</v>
      </c>
      <c r="F43" s="458" t="e">
        <f>VLOOKUP($B41,'100 м 1'!$C$18:$I$87,7,FALSE)</f>
        <v>#N/A</v>
      </c>
      <c r="G43" s="404" t="e">
        <f>VLOOKUP($B41,'длина 2 '!$C$16:$O$54,13,FALSE)</f>
        <v>#N/A</v>
      </c>
      <c r="H43" s="404" t="e">
        <f>VLOOKUP($B41,'ядро 2'!$C$16:$K$60,9,FALSE)</f>
        <v>#N/A</v>
      </c>
      <c r="I43" s="404" t="e">
        <f>VLOOKUP($B41,'высота 2'!$C$16:$AF$57,30,)</f>
        <v>#N/A</v>
      </c>
      <c r="J43" s="459" t="e">
        <f>VLOOKUP($B41,'4_р'!$C$17:$H$73,6,FALSE)</f>
        <v>#N/A</v>
      </c>
      <c r="K43" s="404" t="e">
        <f>VLOOKUP($B41,'1cб_р'!$C$17:$I$67,7,FALSE)</f>
        <v>#N/A</v>
      </c>
      <c r="L43" s="404" t="e">
        <f>VLOOKUP($B41,Дс_р!$C$16:$K$70,9,FALSE)</f>
        <v>#N/A</v>
      </c>
      <c r="M43" s="404">
        <f>VLOOKUP($B41,Ш_р!$C$15:$AF$69,30,FALSE)</f>
        <v>760</v>
      </c>
      <c r="N43" s="404" t="e">
        <f>VLOOKUP($B41,К_р!$C$15:$K$68,9,FALSE)</f>
        <v>#N/A</v>
      </c>
      <c r="O43" s="404" t="e">
        <f>VLOOKUP($B41,'15_р'!$C$17:$H$86,6,FALSE)</f>
        <v>#N/A</v>
      </c>
      <c r="P43" s="448"/>
      <c r="Q43" s="372"/>
      <c r="R43" s="372"/>
      <c r="S43" s="404">
        <f>B41</f>
        <v>16</v>
      </c>
      <c r="T43" s="287">
        <f>$A41</f>
        <v>6</v>
      </c>
      <c r="U43" s="287">
        <v>3</v>
      </c>
      <c r="V43" s="287">
        <f>$A41</f>
        <v>6</v>
      </c>
      <c r="W43" s="449"/>
      <c r="X43" s="307"/>
      <c r="Y43" s="307"/>
      <c r="Z43" s="307"/>
      <c r="AA43" s="307"/>
      <c r="AB43" s="307"/>
      <c r="AC43" s="307"/>
      <c r="AD43" s="450"/>
      <c r="AE43" s="450"/>
      <c r="AF43" s="450"/>
      <c r="AH43" s="231"/>
      <c r="AI43" s="231"/>
      <c r="AJ43" s="404">
        <v>315</v>
      </c>
      <c r="AK43" s="231"/>
    </row>
    <row r="44" spans="1:50" s="280" customFormat="1" ht="13.2" customHeight="1" x14ac:dyDescent="0.35">
      <c r="A44" s="231"/>
      <c r="B44" s="404"/>
      <c r="C44" s="451" t="e">
        <f>VLOOKUP(B41,Уч!$A$2:$L$34,11,FALSE)</f>
        <v>#N/A</v>
      </c>
      <c r="D44" s="444"/>
      <c r="E44" s="509" t="s">
        <v>276</v>
      </c>
      <c r="F44" s="458" t="e">
        <f>F43</f>
        <v>#N/A</v>
      </c>
      <c r="G44" s="404" t="e">
        <f>F44+G43</f>
        <v>#N/A</v>
      </c>
      <c r="H44" s="404" t="e">
        <f>G44+H43</f>
        <v>#N/A</v>
      </c>
      <c r="I44" s="404" t="e">
        <f>H44+I43</f>
        <v>#N/A</v>
      </c>
      <c r="J44" s="459" t="e">
        <f>SUM($F43:J43)</f>
        <v>#N/A</v>
      </c>
      <c r="K44" s="404" t="e">
        <f>SUM($F43:$K43)</f>
        <v>#N/A</v>
      </c>
      <c r="L44" s="404" t="e">
        <f>K44+L43</f>
        <v>#N/A</v>
      </c>
      <c r="M44" s="404" t="e">
        <f>L44+M43</f>
        <v>#N/A</v>
      </c>
      <c r="N44" s="404" t="e">
        <f>SUM($F43:$N43)</f>
        <v>#N/A</v>
      </c>
      <c r="O44" s="404" t="e">
        <f>SUM($F43:$O43)</f>
        <v>#N/A</v>
      </c>
      <c r="P44" s="448"/>
      <c r="Q44" s="372"/>
      <c r="R44" s="372"/>
      <c r="S44" s="404">
        <f>B41</f>
        <v>16</v>
      </c>
      <c r="T44" s="287">
        <f>$A41</f>
        <v>6</v>
      </c>
      <c r="U44" s="287">
        <v>4</v>
      </c>
      <c r="V44" s="287">
        <f>$A41</f>
        <v>6</v>
      </c>
      <c r="W44" s="372" t="e">
        <f t="shared" ref="W44:AF44" si="5">F44</f>
        <v>#N/A</v>
      </c>
      <c r="X44" s="372" t="e">
        <f t="shared" si="5"/>
        <v>#N/A</v>
      </c>
      <c r="Y44" s="372" t="e">
        <f t="shared" si="5"/>
        <v>#N/A</v>
      </c>
      <c r="Z44" s="372" t="e">
        <f t="shared" si="5"/>
        <v>#N/A</v>
      </c>
      <c r="AA44" s="372" t="e">
        <f t="shared" si="5"/>
        <v>#N/A</v>
      </c>
      <c r="AB44" s="372" t="e">
        <f t="shared" si="5"/>
        <v>#N/A</v>
      </c>
      <c r="AC44" s="372" t="e">
        <f t="shared" si="5"/>
        <v>#N/A</v>
      </c>
      <c r="AD44" s="372" t="e">
        <f t="shared" si="5"/>
        <v>#N/A</v>
      </c>
      <c r="AE44" s="372" t="e">
        <f t="shared" si="5"/>
        <v>#N/A</v>
      </c>
      <c r="AF44" s="372" t="e">
        <f t="shared" si="5"/>
        <v>#N/A</v>
      </c>
      <c r="AH44" s="231"/>
      <c r="AI44" s="231"/>
      <c r="AJ44" s="404">
        <v>315</v>
      </c>
      <c r="AK44" s="231"/>
    </row>
    <row r="45" spans="1:50" s="280" customFormat="1" ht="13.2" customHeight="1" thickBot="1" x14ac:dyDescent="0.3">
      <c r="A45" s="460"/>
      <c r="B45" s="461"/>
      <c r="C45" s="462" t="e">
        <f>VLOOKUP(B41,Уч!$A$2:$L$34,12,FALSE)</f>
        <v>#N/A</v>
      </c>
      <c r="D45" s="467"/>
      <c r="E45" s="510" t="s">
        <v>59</v>
      </c>
      <c r="F45" s="464" t="e">
        <f>RANK(F44,$W$16:$W$80,0)</f>
        <v>#N/A</v>
      </c>
      <c r="G45" s="461" t="e">
        <f>RANK(G44,$X$16:$X$80,0)</f>
        <v>#N/A</v>
      </c>
      <c r="H45" s="461" t="e">
        <f>RANK(H44,$Y$16:$Y$80,0)</f>
        <v>#N/A</v>
      </c>
      <c r="I45" s="461" t="e">
        <f>RANK(I44,$Z$16:$Z$80,0)</f>
        <v>#N/A</v>
      </c>
      <c r="J45" s="465" t="e">
        <f>RANK(J44,$AA$16:$AA$80,0)</f>
        <v>#N/A</v>
      </c>
      <c r="K45" s="461" t="e">
        <f>RANK(K44,$AB$16:$AB$80,0)</f>
        <v>#N/A</v>
      </c>
      <c r="L45" s="461" t="e">
        <f>RANK(L44,$AC$16:$AC$80,0)</f>
        <v>#N/A</v>
      </c>
      <c r="M45" s="461" t="e">
        <f>RANK(M44,$AD$16:$AD$80,0)</f>
        <v>#N/A</v>
      </c>
      <c r="N45" s="461" t="e">
        <f>RANK(N44,$AE$16:$AE$80,0)</f>
        <v>#N/A</v>
      </c>
      <c r="O45" s="461" t="e">
        <f>RANK(O44,$AF$16:$AF$80,0)</f>
        <v>#N/A</v>
      </c>
      <c r="P45" s="466"/>
      <c r="Q45" s="442"/>
      <c r="R45" s="442"/>
      <c r="S45" s="205">
        <f>B41</f>
        <v>16</v>
      </c>
      <c r="T45" s="287">
        <f>$A41</f>
        <v>6</v>
      </c>
      <c r="U45" s="287">
        <v>5</v>
      </c>
      <c r="V45" s="287">
        <f>$A41</f>
        <v>6</v>
      </c>
      <c r="W45" s="449"/>
      <c r="X45" s="307"/>
      <c r="Y45" s="307"/>
      <c r="Z45" s="307"/>
      <c r="AA45" s="307"/>
      <c r="AB45" s="307"/>
      <c r="AC45" s="307"/>
      <c r="AD45" s="450"/>
      <c r="AE45" s="450"/>
      <c r="AF45" s="450"/>
      <c r="AH45" s="231"/>
      <c r="AI45" s="231"/>
      <c r="AJ45" s="404">
        <v>315</v>
      </c>
      <c r="AK45" s="231"/>
    </row>
    <row r="46" spans="1:50" s="287" customFormat="1" ht="13.2" customHeight="1" thickTop="1" x14ac:dyDescent="0.35">
      <c r="A46" s="231">
        <v>7</v>
      </c>
      <c r="B46" s="404">
        <v>27</v>
      </c>
      <c r="C46" s="443" t="e">
        <f>VLOOKUP(B46,Уч!$A$2:$L$34,2,FALSE)</f>
        <v>#N/A</v>
      </c>
      <c r="D46" s="444" t="e">
        <f>VLOOKUP(B46,Уч!$A$2:$L$34,3,FALSE)</f>
        <v>#N/A</v>
      </c>
      <c r="E46" s="509" t="s">
        <v>19</v>
      </c>
      <c r="F46" s="445" t="e">
        <f>VLOOKUP($B46,'100 м 1'!$C$18:$I$87,5,FALSE)</f>
        <v>#N/A</v>
      </c>
      <c r="G46" s="446" t="e">
        <f>VLOOKUP($B46,'длина 2 '!$C$16:$O$54,11,FALSE)</f>
        <v>#N/A</v>
      </c>
      <c r="H46" s="446" t="e">
        <f>VLOOKUP($B46,'ядро 2'!$C$16:$K$60,8,FALSE)</f>
        <v>#N/A</v>
      </c>
      <c r="I46" s="446" t="e">
        <f>VLOOKUP($B46,'высота 2'!$C$16:$AF$57,29,FALSE)</f>
        <v>#N/A</v>
      </c>
      <c r="J46" s="447" t="e">
        <f>VLOOKUP($B46,'4_р'!$C$17:$H$73,5,FALSE)</f>
        <v>#N/A</v>
      </c>
      <c r="K46" s="446" t="e">
        <f>VLOOKUP($B46,'1cб_р'!$C$17:$I$67,5,FALSE)</f>
        <v>#N/A</v>
      </c>
      <c r="L46" s="446" t="e">
        <f>VLOOKUP($B46,Дс_р!$C$16:$K$70,8,FALSE)</f>
        <v>#N/A</v>
      </c>
      <c r="M46" s="446" t="e">
        <f>VLOOKUP($B46,Ш_р!$C$15:$AF$69,29,FALSE)</f>
        <v>#N/A</v>
      </c>
      <c r="N46" s="446" t="e">
        <f>VLOOKUP($B46,К_р!$C$15:$K$68,8,FALSE)</f>
        <v>#N/A</v>
      </c>
      <c r="O46" s="404" t="e">
        <f>VLOOKUP($B46,'15_р'!$C$17:$H$86,5,FALSE)</f>
        <v>#N/A</v>
      </c>
      <c r="P46" s="491" t="e">
        <f>SUM(F48:O48)</f>
        <v>#N/A</v>
      </c>
      <c r="Q46" s="231" t="e">
        <f>LOOKUP(P46,Y$1:AH$1,Y$2:AH$2)</f>
        <v>#N/A</v>
      </c>
      <c r="R46" s="511" t="e">
        <f>AH46+AI46+5</f>
        <v>#N/A</v>
      </c>
      <c r="S46" s="404">
        <f>B46</f>
        <v>27</v>
      </c>
      <c r="T46" s="287">
        <f>$A46</f>
        <v>7</v>
      </c>
      <c r="U46" s="287">
        <v>1</v>
      </c>
      <c r="V46" s="287" t="s">
        <v>162</v>
      </c>
      <c r="W46" s="307"/>
      <c r="X46" s="307"/>
      <c r="Y46" s="307"/>
      <c r="Z46" s="307"/>
      <c r="AA46" s="307"/>
      <c r="AB46" s="307"/>
      <c r="AC46" s="307"/>
      <c r="AD46" s="450"/>
      <c r="AE46" s="450"/>
      <c r="AF46" s="450"/>
      <c r="AG46" s="280"/>
      <c r="AH46" s="280" t="e">
        <f>IF(AND(T46&gt;16,P46&gt;=6200),"1",LOOKUP(T46,Y$5:AO$5,Y$6:AO$6))</f>
        <v>#N/A</v>
      </c>
      <c r="AI46" s="280" t="e">
        <f>LOOKUP(Q46,Y$8:AD$8,Y$9:AD$9)</f>
        <v>#N/A</v>
      </c>
      <c r="AJ46" s="404">
        <v>462</v>
      </c>
      <c r="AK46" s="231"/>
      <c r="AL46" s="280"/>
      <c r="AM46" s="280"/>
      <c r="AN46" s="280"/>
      <c r="AO46" s="280"/>
      <c r="AP46" s="280"/>
      <c r="AQ46" s="280"/>
      <c r="AR46" s="280"/>
      <c r="AS46" s="280"/>
      <c r="AT46" s="280"/>
      <c r="AU46" s="280"/>
      <c r="AV46" s="280"/>
      <c r="AW46" s="280"/>
      <c r="AX46" s="280"/>
    </row>
    <row r="47" spans="1:50" s="287" customFormat="1" ht="13.2" customHeight="1" x14ac:dyDescent="0.35">
      <c r="A47" s="231"/>
      <c r="B47" s="404"/>
      <c r="C47" s="451" t="e">
        <f>VLOOKUP(B46,Уч!$A$2:$L$34,5,FALSE)</f>
        <v>#N/A</v>
      </c>
      <c r="D47" s="444" t="e">
        <f>VLOOKUP(B46,Уч!$A$2:$L$34,4,FALSE)</f>
        <v>#N/A</v>
      </c>
      <c r="E47" s="509" t="s">
        <v>25</v>
      </c>
      <c r="F47" s="453" t="e">
        <f>VLOOKUP($B46,'100 м 1'!$C$18:$I$87,6,FALSE)</f>
        <v>#N/A</v>
      </c>
      <c r="G47" s="454" t="e">
        <f>VLOOKUP($B46,'длина 2 '!$C$16:$O$54,12,FALSE)</f>
        <v>#N/A</v>
      </c>
      <c r="H47" s="404"/>
      <c r="I47" s="454"/>
      <c r="J47" s="455"/>
      <c r="K47" s="454" t="e">
        <f>VLOOKUP($B46,'1cб_р'!$C$17:$I$67,6,FALSE)</f>
        <v>#N/A</v>
      </c>
      <c r="L47" s="454"/>
      <c r="M47" s="454"/>
      <c r="N47" s="404"/>
      <c r="O47" s="404"/>
      <c r="P47" s="448"/>
      <c r="Q47" s="456"/>
      <c r="R47" s="511" t="e">
        <f>CONCATENATE(AH46,"+",AI46,"+",5)</f>
        <v>#N/A</v>
      </c>
      <c r="S47" s="404">
        <f>B46</f>
        <v>27</v>
      </c>
      <c r="T47" s="287">
        <f>$A46</f>
        <v>7</v>
      </c>
      <c r="U47" s="287">
        <v>2</v>
      </c>
      <c r="V47" s="287" t="s">
        <v>162</v>
      </c>
      <c r="W47" s="307"/>
      <c r="X47" s="307"/>
      <c r="Y47" s="307"/>
      <c r="Z47" s="307"/>
      <c r="AA47" s="307"/>
      <c r="AB47" s="307"/>
      <c r="AC47" s="307"/>
      <c r="AD47" s="450"/>
      <c r="AE47" s="450"/>
      <c r="AF47" s="450"/>
      <c r="AG47" s="280"/>
      <c r="AH47" s="231"/>
      <c r="AI47" s="231"/>
      <c r="AJ47" s="404">
        <v>462</v>
      </c>
      <c r="AK47" s="231"/>
      <c r="AL47" s="280"/>
      <c r="AM47" s="280"/>
      <c r="AN47" s="280"/>
      <c r="AO47" s="280"/>
      <c r="AP47" s="280"/>
      <c r="AQ47" s="280"/>
      <c r="AR47" s="280"/>
      <c r="AS47" s="280"/>
      <c r="AT47" s="280"/>
      <c r="AU47" s="280"/>
      <c r="AV47" s="280"/>
      <c r="AW47" s="280"/>
      <c r="AX47" s="280"/>
    </row>
    <row r="48" spans="1:50" s="287" customFormat="1" ht="13.2" customHeight="1" x14ac:dyDescent="0.35">
      <c r="A48" s="231"/>
      <c r="B48" s="404"/>
      <c r="C48" s="457" t="e">
        <f>VLOOKUP(B46,Уч!$A$2:$L$34,7,FALSE)</f>
        <v>#N/A</v>
      </c>
      <c r="D48" s="452"/>
      <c r="E48" s="509" t="s">
        <v>29</v>
      </c>
      <c r="F48" s="458" t="e">
        <f>VLOOKUP($B46,'100 м 1'!$C$18:$I$87,7,FALSE)</f>
        <v>#N/A</v>
      </c>
      <c r="G48" s="404" t="e">
        <f>VLOOKUP($B46,'длина 2 '!$C$16:$O$54,13,FALSE)</f>
        <v>#N/A</v>
      </c>
      <c r="H48" s="404" t="e">
        <f>VLOOKUP($B46,'ядро 2'!$C$16:$K$60,9,FALSE)</f>
        <v>#N/A</v>
      </c>
      <c r="I48" s="404" t="e">
        <f>VLOOKUP($B46,'высота 2'!$C$16:$AF$57,30,)</f>
        <v>#N/A</v>
      </c>
      <c r="J48" s="459" t="e">
        <f>VLOOKUP($B46,'4_р'!$C$17:$H$73,6,FALSE)</f>
        <v>#N/A</v>
      </c>
      <c r="K48" s="404" t="e">
        <f>VLOOKUP($B46,'1cб_р'!$C$17:$I$67,7,FALSE)</f>
        <v>#N/A</v>
      </c>
      <c r="L48" s="404" t="e">
        <f>VLOOKUP($B46,Дс_р!$C$16:$K$70,9,FALSE)</f>
        <v>#N/A</v>
      </c>
      <c r="M48" s="404" t="e">
        <f>VLOOKUP($B46,Ш_р!$C$15:$AF$69,30,FALSE)</f>
        <v>#N/A</v>
      </c>
      <c r="N48" s="404" t="e">
        <f>VLOOKUP($B46,К_р!$C$15:$K$68,9,FALSE)</f>
        <v>#N/A</v>
      </c>
      <c r="O48" s="404" t="e">
        <f>VLOOKUP($B46,'15_р'!$C$17:$H$86,6,FALSE)</f>
        <v>#N/A</v>
      </c>
      <c r="P48" s="448"/>
      <c r="Q48" s="372"/>
      <c r="R48" s="512"/>
      <c r="S48" s="404">
        <f>B46</f>
        <v>27</v>
      </c>
      <c r="T48" s="287">
        <f>$A46</f>
        <v>7</v>
      </c>
      <c r="U48" s="287">
        <v>3</v>
      </c>
      <c r="V48" s="287" t="s">
        <v>162</v>
      </c>
      <c r="W48" s="307"/>
      <c r="X48" s="307"/>
      <c r="Y48" s="307"/>
      <c r="Z48" s="307"/>
      <c r="AA48" s="307"/>
      <c r="AB48" s="307"/>
      <c r="AC48" s="307"/>
      <c r="AD48" s="450"/>
      <c r="AE48" s="450"/>
      <c r="AF48" s="450"/>
      <c r="AG48" s="280"/>
      <c r="AH48" s="231"/>
      <c r="AI48" s="231"/>
      <c r="AJ48" s="404">
        <v>462</v>
      </c>
      <c r="AK48" s="231"/>
      <c r="AL48" s="280"/>
      <c r="AM48" s="280"/>
      <c r="AN48" s="280"/>
      <c r="AO48" s="280"/>
      <c r="AP48" s="280"/>
      <c r="AQ48" s="280"/>
      <c r="AR48" s="280"/>
      <c r="AS48" s="280"/>
      <c r="AT48" s="280"/>
      <c r="AU48" s="280"/>
      <c r="AV48" s="280"/>
      <c r="AW48" s="280"/>
      <c r="AX48" s="280"/>
    </row>
    <row r="49" spans="1:50" s="287" customFormat="1" ht="13.2" customHeight="1" x14ac:dyDescent="0.35">
      <c r="A49" s="231"/>
      <c r="B49" s="404"/>
      <c r="C49" s="451" t="e">
        <f>VLOOKUP(B46,Уч!$A$2:$L$34,11,FALSE)</f>
        <v>#N/A</v>
      </c>
      <c r="D49" s="452"/>
      <c r="E49" s="509" t="s">
        <v>276</v>
      </c>
      <c r="F49" s="458" t="e">
        <f>F48</f>
        <v>#N/A</v>
      </c>
      <c r="G49" s="404" t="e">
        <f>F49+G48</f>
        <v>#N/A</v>
      </c>
      <c r="H49" s="404" t="e">
        <f>G49+H48</f>
        <v>#N/A</v>
      </c>
      <c r="I49" s="404" t="e">
        <f>H49+I48</f>
        <v>#N/A</v>
      </c>
      <c r="J49" s="459" t="e">
        <f>SUM($F48:J48)</f>
        <v>#N/A</v>
      </c>
      <c r="K49" s="404" t="e">
        <f>SUM($F48:$K48)</f>
        <v>#N/A</v>
      </c>
      <c r="L49" s="404" t="e">
        <f>K49+L48</f>
        <v>#N/A</v>
      </c>
      <c r="M49" s="404" t="e">
        <f>L49+M48</f>
        <v>#N/A</v>
      </c>
      <c r="N49" s="404" t="e">
        <f>SUM($F48:$N48)</f>
        <v>#N/A</v>
      </c>
      <c r="O49" s="404" t="e">
        <f>SUM($F48:$O48)</f>
        <v>#N/A</v>
      </c>
      <c r="P49" s="448"/>
      <c r="Q49" s="372"/>
      <c r="R49" s="512"/>
      <c r="S49" s="404">
        <f>B46</f>
        <v>27</v>
      </c>
      <c r="T49" s="287">
        <f>$A46</f>
        <v>7</v>
      </c>
      <c r="U49" s="287">
        <v>4</v>
      </c>
      <c r="V49" s="287" t="s">
        <v>162</v>
      </c>
      <c r="W49" s="372" t="e">
        <f t="shared" ref="W49:AF49" si="6">F49</f>
        <v>#N/A</v>
      </c>
      <c r="X49" s="372" t="e">
        <f t="shared" si="6"/>
        <v>#N/A</v>
      </c>
      <c r="Y49" s="372" t="e">
        <f t="shared" si="6"/>
        <v>#N/A</v>
      </c>
      <c r="Z49" s="372" t="e">
        <f t="shared" si="6"/>
        <v>#N/A</v>
      </c>
      <c r="AA49" s="372" t="e">
        <f t="shared" si="6"/>
        <v>#N/A</v>
      </c>
      <c r="AB49" s="372" t="e">
        <f t="shared" si="6"/>
        <v>#N/A</v>
      </c>
      <c r="AC49" s="372" t="e">
        <f t="shared" si="6"/>
        <v>#N/A</v>
      </c>
      <c r="AD49" s="372" t="e">
        <f t="shared" si="6"/>
        <v>#N/A</v>
      </c>
      <c r="AE49" s="372" t="e">
        <f t="shared" si="6"/>
        <v>#N/A</v>
      </c>
      <c r="AF49" s="372" t="e">
        <f t="shared" si="6"/>
        <v>#N/A</v>
      </c>
      <c r="AG49" s="280"/>
      <c r="AH49" s="231"/>
      <c r="AI49" s="231"/>
      <c r="AJ49" s="404">
        <v>462</v>
      </c>
      <c r="AL49" s="280"/>
      <c r="AM49" s="280"/>
      <c r="AN49" s="280"/>
      <c r="AO49" s="280"/>
      <c r="AP49" s="280"/>
      <c r="AQ49" s="280"/>
      <c r="AR49" s="280"/>
      <c r="AS49" s="280"/>
      <c r="AT49" s="280"/>
      <c r="AU49" s="280"/>
      <c r="AV49" s="280"/>
      <c r="AW49" s="280"/>
      <c r="AX49" s="280"/>
    </row>
    <row r="50" spans="1:50" s="287" customFormat="1" ht="13.2" customHeight="1" thickBot="1" x14ac:dyDescent="0.3">
      <c r="A50" s="460"/>
      <c r="B50" s="461"/>
      <c r="C50" s="462" t="e">
        <f>VLOOKUP(B46,Уч!$A$2:$L$34,12,FALSE)</f>
        <v>#N/A</v>
      </c>
      <c r="D50" s="463"/>
      <c r="E50" s="510" t="s">
        <v>59</v>
      </c>
      <c r="F50" s="464" t="e">
        <f>RANK(F49,$W$16:$W$80,0)</f>
        <v>#N/A</v>
      </c>
      <c r="G50" s="461" t="e">
        <f>RANK(G49,$X$16:$X$80,0)</f>
        <v>#N/A</v>
      </c>
      <c r="H50" s="461" t="e">
        <f>RANK(H49,$Y$16:$Y$80,0)</f>
        <v>#N/A</v>
      </c>
      <c r="I50" s="461" t="e">
        <f>RANK(I49,$Z$16:$Z$80,0)</f>
        <v>#N/A</v>
      </c>
      <c r="J50" s="465" t="e">
        <f>RANK(J49,$AA$16:$AA$80,0)</f>
        <v>#N/A</v>
      </c>
      <c r="K50" s="461" t="e">
        <f>RANK(K49,$AB$16:$AB$80,0)</f>
        <v>#N/A</v>
      </c>
      <c r="L50" s="461" t="e">
        <f>RANK(L49,$AC$16:$AC$80,0)</f>
        <v>#N/A</v>
      </c>
      <c r="M50" s="461" t="e">
        <f>RANK(M49,$AD$16:$AD$80,0)</f>
        <v>#N/A</v>
      </c>
      <c r="N50" s="461" t="e">
        <f>RANK(N49,$AE$16:$AE$80,0)</f>
        <v>#N/A</v>
      </c>
      <c r="O50" s="461" t="e">
        <f>RANK(O49,$AF$16:$AF$80,0)</f>
        <v>#N/A</v>
      </c>
      <c r="P50" s="466"/>
      <c r="Q50" s="442"/>
      <c r="R50" s="513"/>
      <c r="S50" s="205">
        <f>B46</f>
        <v>27</v>
      </c>
      <c r="T50" s="287">
        <f>$A46</f>
        <v>7</v>
      </c>
      <c r="U50" s="287">
        <v>5</v>
      </c>
      <c r="V50" s="287" t="s">
        <v>162</v>
      </c>
      <c r="W50" s="307"/>
      <c r="X50" s="307"/>
      <c r="Y50" s="307"/>
      <c r="Z50" s="307"/>
      <c r="AA50" s="307"/>
      <c r="AB50" s="307"/>
      <c r="AC50" s="307"/>
      <c r="AD50" s="450"/>
      <c r="AE50" s="450"/>
      <c r="AF50" s="450"/>
      <c r="AG50" s="280"/>
      <c r="AH50" s="231"/>
      <c r="AI50" s="231"/>
      <c r="AJ50" s="404">
        <v>462</v>
      </c>
      <c r="AL50" s="280"/>
      <c r="AM50" s="280"/>
      <c r="AN50" s="280"/>
      <c r="AO50" s="280"/>
      <c r="AP50" s="280"/>
      <c r="AQ50" s="280"/>
      <c r="AR50" s="280"/>
      <c r="AS50" s="280"/>
      <c r="AT50" s="280"/>
      <c r="AU50" s="280"/>
      <c r="AV50" s="280"/>
      <c r="AW50" s="280"/>
      <c r="AX50" s="280"/>
    </row>
    <row r="51" spans="1:50" s="280" customFormat="1" ht="13.2" customHeight="1" thickTop="1" x14ac:dyDescent="0.35">
      <c r="A51" s="469">
        <v>21</v>
      </c>
      <c r="B51" s="404">
        <v>62</v>
      </c>
      <c r="C51" s="443" t="e">
        <f>VLOOKUP(B51,Уч!$A$2:$L$34,2,FALSE)</f>
        <v>#N/A</v>
      </c>
      <c r="D51" s="444" t="e">
        <f>VLOOKUP(B51,Уч!$A$2:$L$34,3,FALSE)</f>
        <v>#N/A</v>
      </c>
      <c r="E51" s="509" t="s">
        <v>19</v>
      </c>
      <c r="F51" s="445" t="e">
        <f>VLOOKUP($B51,'100 м 1'!$C$18:$I$87,5,FALSE)</f>
        <v>#N/A</v>
      </c>
      <c r="G51" s="446" t="e">
        <f>VLOOKUP($B51,'длина 2 '!$C$16:$O$54,11,FALSE)</f>
        <v>#N/A</v>
      </c>
      <c r="H51" s="446" t="e">
        <f>VLOOKUP($B51,'ядро 2'!$C$16:$K$60,8,FALSE)</f>
        <v>#N/A</v>
      </c>
      <c r="I51" s="446">
        <f>VLOOKUP($B51,'высота 2'!$C$16:$AF$57,29,FALSE)</f>
        <v>1.88</v>
      </c>
      <c r="J51" s="447" t="e">
        <f>VLOOKUP($B51,'4_р'!$C$17:$H$73,5,FALSE)</f>
        <v>#N/A</v>
      </c>
      <c r="K51" s="446" t="e">
        <f>VLOOKUP($B51,'1cб_р'!$C$17:$I$67,5,FALSE)</f>
        <v>#N/A</v>
      </c>
      <c r="L51" s="446">
        <f>VLOOKUP($B51,Дс_р!$C$16:$K$70,8,FALSE)</f>
        <v>0</v>
      </c>
      <c r="M51" s="446">
        <f>VLOOKUP($B51,Ш_р!$C$15:$AF$69,29,FALSE)</f>
        <v>0</v>
      </c>
      <c r="N51" s="446">
        <f>VLOOKUP($B51,К_р!$C$15:$K$68,8,FALSE)</f>
        <v>0</v>
      </c>
      <c r="O51" s="473" t="e">
        <f>VLOOKUP($B51,'15_р'!$C$17:$H$86,5,FALSE)</f>
        <v>#N/A</v>
      </c>
      <c r="P51" s="448" t="e">
        <f>SUM(F53:O53)</f>
        <v>#N/A</v>
      </c>
      <c r="Q51" s="469" t="e">
        <f>LOOKUP(P51,Y$1:AH$1,Y$2:AH$2)</f>
        <v>#N/A</v>
      </c>
      <c r="R51" s="511" t="e">
        <f>AH51+AI51+5</f>
        <v>#N/A</v>
      </c>
      <c r="S51" s="404">
        <f>B51</f>
        <v>62</v>
      </c>
      <c r="T51" s="287">
        <f>$A51</f>
        <v>21</v>
      </c>
      <c r="U51" s="287">
        <v>1</v>
      </c>
      <c r="V51" s="287">
        <f>$A51</f>
        <v>21</v>
      </c>
      <c r="W51" s="449"/>
      <c r="X51" s="307"/>
      <c r="Y51" s="307"/>
      <c r="Z51" s="307"/>
      <c r="AA51" s="307"/>
      <c r="AB51" s="307"/>
      <c r="AC51" s="307"/>
      <c r="AD51" s="450"/>
      <c r="AE51" s="450"/>
      <c r="AF51" s="450"/>
      <c r="AH51" s="280" t="e">
        <f>IF(AND(T51&gt;16,P51&gt;=6200),"1",LOOKUP(T51,Y$5:AO$5,Y$6:AO$6))</f>
        <v>#N/A</v>
      </c>
      <c r="AI51" s="280" t="e">
        <f>LOOKUP(Q51,Y$8:AD$8,Y$9:AD$9)</f>
        <v>#N/A</v>
      </c>
      <c r="AJ51" s="404">
        <v>459</v>
      </c>
      <c r="AK51" s="231"/>
    </row>
    <row r="52" spans="1:50" s="280" customFormat="1" ht="13.2" customHeight="1" x14ac:dyDescent="0.35">
      <c r="A52" s="231"/>
      <c r="B52" s="404"/>
      <c r="C52" s="451" t="e">
        <f>VLOOKUP(B51,Уч!$A$2:$L$34,5,FALSE)</f>
        <v>#N/A</v>
      </c>
      <c r="D52" s="452" t="e">
        <f>VLOOKUP(B51,Уч!$A$2:$L$34,4,FALSE)</f>
        <v>#N/A</v>
      </c>
      <c r="E52" s="509" t="s">
        <v>25</v>
      </c>
      <c r="F52" s="453" t="e">
        <f>VLOOKUP($B51,'100 м 1'!$C$18:$I$87,6,FALSE)</f>
        <v>#N/A</v>
      </c>
      <c r="G52" s="454" t="e">
        <f>VLOOKUP($B51,'длина 2 '!$C$16:$O$54,12,FALSE)</f>
        <v>#N/A</v>
      </c>
      <c r="H52" s="404"/>
      <c r="I52" s="454"/>
      <c r="J52" s="455"/>
      <c r="K52" s="454" t="e">
        <f>VLOOKUP($B51,'1cб_р'!$C$17:$I$67,6,FALSE)</f>
        <v>#N/A</v>
      </c>
      <c r="L52" s="454"/>
      <c r="M52" s="454"/>
      <c r="N52" s="404"/>
      <c r="O52" s="473"/>
      <c r="P52" s="448"/>
      <c r="Q52" s="456"/>
      <c r="R52" s="511" t="e">
        <f>CONCATENATE(AH51,"+",AI51,"+",5)</f>
        <v>#N/A</v>
      </c>
      <c r="S52" s="404">
        <f>B51</f>
        <v>62</v>
      </c>
      <c r="T52" s="287">
        <f>$A51</f>
        <v>21</v>
      </c>
      <c r="U52" s="287">
        <v>2</v>
      </c>
      <c r="V52" s="287">
        <f>$A51</f>
        <v>21</v>
      </c>
      <c r="W52" s="449"/>
      <c r="X52" s="307"/>
      <c r="Y52" s="307"/>
      <c r="Z52" s="307"/>
      <c r="AA52" s="307"/>
      <c r="AB52" s="307"/>
      <c r="AC52" s="307"/>
      <c r="AD52" s="450"/>
      <c r="AE52" s="450"/>
      <c r="AF52" s="450"/>
      <c r="AH52" s="231"/>
      <c r="AI52" s="231"/>
      <c r="AJ52" s="404">
        <v>459</v>
      </c>
      <c r="AK52" s="231"/>
    </row>
    <row r="53" spans="1:50" s="280" customFormat="1" ht="13.2" customHeight="1" x14ac:dyDescent="0.35">
      <c r="A53" s="231"/>
      <c r="B53" s="404"/>
      <c r="C53" s="457" t="e">
        <f>VLOOKUP(B51,Уч!$A$2:$L$34,7,FALSE)</f>
        <v>#N/A</v>
      </c>
      <c r="D53" s="452"/>
      <c r="E53" s="509" t="s">
        <v>29</v>
      </c>
      <c r="F53" s="458" t="e">
        <f>VLOOKUP($B51,'100 м 1'!$C$18:$I$87,7,FALSE)</f>
        <v>#N/A</v>
      </c>
      <c r="G53" s="404" t="e">
        <f>VLOOKUP($B51,'длина 2 '!$C$16:$O$54,13,FALSE)</f>
        <v>#N/A</v>
      </c>
      <c r="H53" s="404" t="e">
        <f>VLOOKUP($B51,'ядро 2'!$C$16:$K$60,9,FALSE)</f>
        <v>#N/A</v>
      </c>
      <c r="I53" s="404">
        <f>VLOOKUP($B51,'высота 2'!$C$16:$AF$57,30,)</f>
        <v>0</v>
      </c>
      <c r="J53" s="459" t="e">
        <f>VLOOKUP($B51,'4_р'!$C$17:$H$73,6,FALSE)</f>
        <v>#N/A</v>
      </c>
      <c r="K53" s="404" t="e">
        <f>VLOOKUP($B51,'1cб_р'!$C$17:$I$67,7,FALSE)</f>
        <v>#N/A</v>
      </c>
      <c r="L53" s="404">
        <f>VLOOKUP($B51,Дс_р!$C$16:$K$70,9,FALSE)</f>
        <v>0</v>
      </c>
      <c r="M53" s="404">
        <f>VLOOKUP($B51,Ш_р!$C$15:$AF$69,30,FALSE)</f>
        <v>0</v>
      </c>
      <c r="N53" s="404">
        <f>VLOOKUP($B51,К_р!$C$15:$K$68,9,FALSE)</f>
        <v>0</v>
      </c>
      <c r="O53" s="473" t="e">
        <f>VLOOKUP($B51,'15_р'!$C$17:$H$86,6,FALSE)</f>
        <v>#N/A</v>
      </c>
      <c r="P53" s="448"/>
      <c r="Q53" s="468"/>
      <c r="R53" s="372"/>
      <c r="S53" s="404">
        <f>B51</f>
        <v>62</v>
      </c>
      <c r="T53" s="287">
        <f>$A51</f>
        <v>21</v>
      </c>
      <c r="U53" s="287">
        <v>3</v>
      </c>
      <c r="V53" s="287">
        <f>$A51</f>
        <v>21</v>
      </c>
      <c r="W53" s="449"/>
      <c r="X53" s="307"/>
      <c r="Y53" s="307"/>
      <c r="Z53" s="307"/>
      <c r="AA53" s="307"/>
      <c r="AB53" s="307"/>
      <c r="AC53" s="307"/>
      <c r="AD53" s="450"/>
      <c r="AE53" s="450"/>
      <c r="AF53" s="450"/>
      <c r="AH53" s="231"/>
      <c r="AI53" s="231"/>
      <c r="AJ53" s="404">
        <v>459</v>
      </c>
      <c r="AK53" s="231"/>
    </row>
    <row r="54" spans="1:50" s="280" customFormat="1" ht="13.2" customHeight="1" x14ac:dyDescent="0.35">
      <c r="A54" s="231"/>
      <c r="B54" s="404"/>
      <c r="C54" s="451" t="e">
        <f>VLOOKUP(B51,Уч!$A$2:$L$34,11,FALSE)</f>
        <v>#N/A</v>
      </c>
      <c r="D54" s="452"/>
      <c r="E54" s="509" t="s">
        <v>276</v>
      </c>
      <c r="F54" s="458" t="e">
        <f>F53</f>
        <v>#N/A</v>
      </c>
      <c r="G54" s="404" t="e">
        <f>F54+G53</f>
        <v>#N/A</v>
      </c>
      <c r="H54" s="404" t="e">
        <f>G54+H53</f>
        <v>#N/A</v>
      </c>
      <c r="I54" s="404" t="e">
        <f>H54+I53</f>
        <v>#N/A</v>
      </c>
      <c r="J54" s="459" t="e">
        <f>SUM($F53:J53)</f>
        <v>#N/A</v>
      </c>
      <c r="K54" s="404" t="e">
        <f>SUM($F53:$K53)</f>
        <v>#N/A</v>
      </c>
      <c r="L54" s="404" t="e">
        <f>K54+L53</f>
        <v>#N/A</v>
      </c>
      <c r="M54" s="404" t="e">
        <f>L54+M53</f>
        <v>#N/A</v>
      </c>
      <c r="N54" s="404" t="e">
        <f>SUM($F53:$N53)</f>
        <v>#N/A</v>
      </c>
      <c r="O54" s="473" t="e">
        <f>SUM($F53:$O53)</f>
        <v>#N/A</v>
      </c>
      <c r="P54" s="448"/>
      <c r="Q54" s="456"/>
      <c r="R54" s="372"/>
      <c r="S54" s="404">
        <f>B51</f>
        <v>62</v>
      </c>
      <c r="T54" s="287">
        <f>$A51</f>
        <v>21</v>
      </c>
      <c r="U54" s="287">
        <v>4</v>
      </c>
      <c r="V54" s="287">
        <f>$A51</f>
        <v>21</v>
      </c>
      <c r="W54" s="372" t="e">
        <f t="shared" ref="W54:AF54" si="7">F54</f>
        <v>#N/A</v>
      </c>
      <c r="X54" s="372" t="e">
        <f t="shared" si="7"/>
        <v>#N/A</v>
      </c>
      <c r="Y54" s="372" t="e">
        <f t="shared" si="7"/>
        <v>#N/A</v>
      </c>
      <c r="Z54" s="372" t="e">
        <f t="shared" si="7"/>
        <v>#N/A</v>
      </c>
      <c r="AA54" s="372" t="e">
        <f t="shared" si="7"/>
        <v>#N/A</v>
      </c>
      <c r="AB54" s="372" t="e">
        <f t="shared" si="7"/>
        <v>#N/A</v>
      </c>
      <c r="AC54" s="372" t="e">
        <f t="shared" si="7"/>
        <v>#N/A</v>
      </c>
      <c r="AD54" s="372" t="e">
        <f t="shared" si="7"/>
        <v>#N/A</v>
      </c>
      <c r="AE54" s="372" t="e">
        <f t="shared" si="7"/>
        <v>#N/A</v>
      </c>
      <c r="AF54" s="372" t="e">
        <f t="shared" si="7"/>
        <v>#N/A</v>
      </c>
      <c r="AH54" s="231"/>
      <c r="AI54" s="231"/>
      <c r="AJ54" s="404">
        <v>459</v>
      </c>
      <c r="AK54" s="231"/>
    </row>
    <row r="55" spans="1:50" s="280" customFormat="1" ht="13.2" customHeight="1" thickBot="1" x14ac:dyDescent="0.3">
      <c r="A55" s="460"/>
      <c r="B55" s="461"/>
      <c r="C55" s="462" t="e">
        <f>VLOOKUP(B51,Уч!$A$2:$L$34,12,FALSE)</f>
        <v>#N/A</v>
      </c>
      <c r="D55" s="463"/>
      <c r="E55" s="510" t="s">
        <v>59</v>
      </c>
      <c r="F55" s="464" t="e">
        <f>RANK(F54,$W$16:$W$80,0)</f>
        <v>#N/A</v>
      </c>
      <c r="G55" s="461" t="e">
        <f>RANK(G54,$X$16:$X$80,0)</f>
        <v>#N/A</v>
      </c>
      <c r="H55" s="461" t="e">
        <f>RANK(H54,$Y$16:$Y$80,0)</f>
        <v>#N/A</v>
      </c>
      <c r="I55" s="461" t="e">
        <f>RANK(I54,$Z$16:$Z$80,0)</f>
        <v>#N/A</v>
      </c>
      <c r="J55" s="465" t="e">
        <f>RANK(J54,$AA$16:$AA$80,0)</f>
        <v>#N/A</v>
      </c>
      <c r="K55" s="461" t="e">
        <f>RANK(K54,$AB$16:$AB$80,0)</f>
        <v>#N/A</v>
      </c>
      <c r="L55" s="461" t="e">
        <f>RANK(L54,$AC$16:$AC$80,0)</f>
        <v>#N/A</v>
      </c>
      <c r="M55" s="461" t="e">
        <f>RANK(M54,$AD$16:$AD$80,0)</f>
        <v>#N/A</v>
      </c>
      <c r="N55" s="461" t="e">
        <f>RANK(N54,$AE$16:$AE$80,0)</f>
        <v>#N/A</v>
      </c>
      <c r="O55" s="481" t="e">
        <f>RANK(O54,$AF$16:$AF$80,0)</f>
        <v>#N/A</v>
      </c>
      <c r="P55" s="466"/>
      <c r="Q55" s="442"/>
      <c r="R55" s="442"/>
      <c r="S55" s="205">
        <f>B51</f>
        <v>62</v>
      </c>
      <c r="T55" s="287">
        <f>$A51</f>
        <v>21</v>
      </c>
      <c r="U55" s="287">
        <v>5</v>
      </c>
      <c r="V55" s="287">
        <f>$A51</f>
        <v>21</v>
      </c>
      <c r="W55" s="449"/>
      <c r="X55" s="307"/>
      <c r="Y55" s="307"/>
      <c r="Z55" s="307"/>
      <c r="AA55" s="307"/>
      <c r="AB55" s="307"/>
      <c r="AC55" s="307"/>
      <c r="AD55" s="450"/>
      <c r="AE55" s="450"/>
      <c r="AF55" s="450"/>
      <c r="AH55" s="231"/>
      <c r="AI55" s="231"/>
      <c r="AJ55" s="404">
        <v>459</v>
      </c>
      <c r="AK55" s="231"/>
    </row>
    <row r="56" spans="1:50" s="280" customFormat="1" ht="13.2" customHeight="1" thickTop="1" x14ac:dyDescent="0.35">
      <c r="A56" s="469">
        <v>22</v>
      </c>
      <c r="B56" s="404">
        <v>63</v>
      </c>
      <c r="C56" s="443" t="e">
        <f>VLOOKUP(B56,Уч!$A$2:$L$34,2,FALSE)</f>
        <v>#N/A</v>
      </c>
      <c r="D56" s="444" t="e">
        <f>VLOOKUP(B56,Уч!$A$2:$L$34,3,FALSE)</f>
        <v>#N/A</v>
      </c>
      <c r="E56" s="509" t="s">
        <v>19</v>
      </c>
      <c r="F56" s="445" t="e">
        <f>VLOOKUP($B56,'100 м 1'!$C$18:$I$87,5,FALSE)</f>
        <v>#N/A</v>
      </c>
      <c r="G56" s="446" t="e">
        <f>VLOOKUP($B56,'длина 2 '!$C$16:$O$54,11,FALSE)</f>
        <v>#N/A</v>
      </c>
      <c r="H56" s="446" t="e">
        <f>VLOOKUP($B56,'ядро 2'!$C$16:$K$60,8,FALSE)</f>
        <v>#N/A</v>
      </c>
      <c r="I56" s="446">
        <f>VLOOKUP($B56,'высота 2'!$C$16:$AF$57,29,FALSE)</f>
        <v>1.88</v>
      </c>
      <c r="J56" s="447">
        <f>VLOOKUP($B56,'4_р'!$C$17:$H$73,5,FALSE)</f>
        <v>51.43</v>
      </c>
      <c r="K56" s="446">
        <f>VLOOKUP($B56,'1cб_р'!$C$17:$I$67,5,FALSE)</f>
        <v>0</v>
      </c>
      <c r="L56" s="446">
        <f>VLOOKUP($B56,Дс_р!$C$16:$K$70,8,FALSE)</f>
        <v>30.59</v>
      </c>
      <c r="M56" s="446"/>
      <c r="N56" s="446"/>
      <c r="O56" s="404"/>
      <c r="P56" s="491" t="e">
        <f>SUM(F58:O58)</f>
        <v>#N/A</v>
      </c>
      <c r="Q56" s="469" t="e">
        <f>LOOKUP(P56,Y$1:AH$1,Y$2:AH$2)</f>
        <v>#N/A</v>
      </c>
      <c r="R56" s="511" t="e">
        <f>AH56+AI56+5</f>
        <v>#N/A</v>
      </c>
      <c r="S56" s="404">
        <f>B56</f>
        <v>63</v>
      </c>
      <c r="T56" s="287">
        <f>$A56</f>
        <v>22</v>
      </c>
      <c r="U56" s="287">
        <v>1</v>
      </c>
      <c r="V56" s="287" t="s">
        <v>162</v>
      </c>
      <c r="W56" s="449"/>
      <c r="X56" s="307"/>
      <c r="Y56" s="307"/>
      <c r="Z56" s="307"/>
      <c r="AA56" s="307"/>
      <c r="AB56" s="307"/>
      <c r="AC56" s="307"/>
      <c r="AD56" s="450"/>
      <c r="AE56" s="450"/>
      <c r="AF56" s="450"/>
      <c r="AH56" s="280" t="e">
        <f>IF(AND(T56&gt;16,P56&gt;=6200),"1",LOOKUP(T56,Y$5:AO$5,Y$6:AO$6))</f>
        <v>#N/A</v>
      </c>
      <c r="AI56" s="280" t="e">
        <f>LOOKUP(Q56,Y$8:AD$8,Y$9:AD$9)</f>
        <v>#N/A</v>
      </c>
      <c r="AJ56" s="404">
        <v>55</v>
      </c>
      <c r="AK56" s="231"/>
    </row>
    <row r="57" spans="1:50" s="280" customFormat="1" ht="13.2" customHeight="1" x14ac:dyDescent="0.35">
      <c r="A57" s="469"/>
      <c r="B57" s="404"/>
      <c r="C57" s="451" t="e">
        <f>VLOOKUP(B56,Уч!$A$2:$L$34,5,FALSE)</f>
        <v>#N/A</v>
      </c>
      <c r="D57" s="452" t="e">
        <f>VLOOKUP(B56,Уч!$A$2:$L$34,4,FALSE)</f>
        <v>#N/A</v>
      </c>
      <c r="E57" s="509" t="s">
        <v>25</v>
      </c>
      <c r="F57" s="453" t="e">
        <f>VLOOKUP($B56,'100 м 1'!$C$18:$I$87,6,FALSE)</f>
        <v>#N/A</v>
      </c>
      <c r="G57" s="454" t="e">
        <f>VLOOKUP($B56,'длина 2 '!$C$16:$O$54,12,FALSE)</f>
        <v>#N/A</v>
      </c>
      <c r="H57" s="404"/>
      <c r="I57" s="454"/>
      <c r="J57" s="455"/>
      <c r="K57" s="454">
        <f>VLOOKUP($B56,'1cб_р'!$C$17:$I$67,6,FALSE)</f>
        <v>0</v>
      </c>
      <c r="L57" s="454"/>
      <c r="M57" s="454"/>
      <c r="N57" s="404"/>
      <c r="O57" s="404"/>
      <c r="P57" s="448"/>
      <c r="Q57" s="303"/>
      <c r="R57" s="511" t="e">
        <f>CONCATENATE(AH56,"+",AI56,"+",5)</f>
        <v>#N/A</v>
      </c>
      <c r="S57" s="404">
        <f>B56</f>
        <v>63</v>
      </c>
      <c r="T57" s="287">
        <f>$A56</f>
        <v>22</v>
      </c>
      <c r="U57" s="287">
        <v>2</v>
      </c>
      <c r="V57" s="287" t="s">
        <v>162</v>
      </c>
      <c r="W57" s="449"/>
      <c r="X57" s="307"/>
      <c r="Y57" s="307"/>
      <c r="Z57" s="307"/>
      <c r="AA57" s="307"/>
      <c r="AB57" s="307"/>
      <c r="AC57" s="307"/>
      <c r="AD57" s="450"/>
      <c r="AE57" s="450"/>
      <c r="AF57" s="450"/>
      <c r="AH57" s="231"/>
      <c r="AI57" s="231"/>
      <c r="AJ57" s="404">
        <v>55</v>
      </c>
      <c r="AK57" s="231"/>
    </row>
    <row r="58" spans="1:50" s="280" customFormat="1" ht="13.2" customHeight="1" x14ac:dyDescent="0.35">
      <c r="A58" s="469"/>
      <c r="B58" s="404"/>
      <c r="C58" s="457" t="e">
        <f>VLOOKUP(B56,Уч!$A$2:$L$34,7,FALSE)</f>
        <v>#N/A</v>
      </c>
      <c r="D58" s="452"/>
      <c r="E58" s="509" t="s">
        <v>29</v>
      </c>
      <c r="F58" s="458" t="e">
        <f>VLOOKUP($B56,'100 м 1'!$C$18:$I$87,7,FALSE)</f>
        <v>#N/A</v>
      </c>
      <c r="G58" s="404" t="e">
        <f>VLOOKUP($B56,'длина 2 '!$C$16:$O$54,13,FALSE)</f>
        <v>#N/A</v>
      </c>
      <c r="H58" s="404" t="e">
        <f>VLOOKUP($B56,'ядро 2'!$C$16:$K$60,9,FALSE)</f>
        <v>#N/A</v>
      </c>
      <c r="I58" s="404">
        <f>VLOOKUP($B56,'высота 2'!$C$16:$AF$57,30,)</f>
        <v>0</v>
      </c>
      <c r="J58" s="459">
        <f>VLOOKUP($B56,'4_р'!$C$17:$H$73,6,FALSE)</f>
        <v>750</v>
      </c>
      <c r="K58" s="404">
        <f>VLOOKUP($B56,'1cб_р'!$C$17:$I$67,7,FALSE)</f>
        <v>0</v>
      </c>
      <c r="L58" s="404">
        <f>VLOOKUP($B56,Дс_р!$C$16:$K$70,9,FALSE)</f>
        <v>476</v>
      </c>
      <c r="M58" s="404"/>
      <c r="N58" s="404"/>
      <c r="O58" s="404"/>
      <c r="P58" s="448"/>
      <c r="Q58" s="493"/>
      <c r="R58" s="512"/>
      <c r="S58" s="404">
        <f>B56</f>
        <v>63</v>
      </c>
      <c r="T58" s="287">
        <f>$A56</f>
        <v>22</v>
      </c>
      <c r="U58" s="287">
        <v>3</v>
      </c>
      <c r="V58" s="287" t="s">
        <v>162</v>
      </c>
      <c r="W58" s="449"/>
      <c r="X58" s="307"/>
      <c r="Y58" s="307"/>
      <c r="Z58" s="307"/>
      <c r="AA58" s="307"/>
      <c r="AB58" s="307"/>
      <c r="AC58" s="307"/>
      <c r="AD58" s="450"/>
      <c r="AE58" s="450"/>
      <c r="AF58" s="450"/>
      <c r="AH58" s="231"/>
      <c r="AI58" s="231"/>
      <c r="AJ58" s="404">
        <v>55</v>
      </c>
      <c r="AK58" s="231"/>
    </row>
    <row r="59" spans="1:50" s="280" customFormat="1" ht="13.2" customHeight="1" x14ac:dyDescent="0.35">
      <c r="A59" s="469"/>
      <c r="B59" s="404"/>
      <c r="C59" s="451" t="e">
        <f>VLOOKUP(B56,Уч!$A$2:$L$34,11,FALSE)</f>
        <v>#N/A</v>
      </c>
      <c r="D59" s="452"/>
      <c r="E59" s="509" t="s">
        <v>276</v>
      </c>
      <c r="F59" s="458" t="e">
        <f>F58</f>
        <v>#N/A</v>
      </c>
      <c r="G59" s="404" t="e">
        <f>F59+G58</f>
        <v>#N/A</v>
      </c>
      <c r="H59" s="404" t="e">
        <f>G59+H58</f>
        <v>#N/A</v>
      </c>
      <c r="I59" s="404" t="e">
        <f>H59+I58</f>
        <v>#N/A</v>
      </c>
      <c r="J59" s="459" t="e">
        <f>SUM($F58:J58)</f>
        <v>#N/A</v>
      </c>
      <c r="K59" s="404" t="e">
        <f>SUM($F58:$K58)</f>
        <v>#N/A</v>
      </c>
      <c r="L59" s="404" t="e">
        <f>K59+L58</f>
        <v>#N/A</v>
      </c>
      <c r="M59" s="404"/>
      <c r="N59" s="404"/>
      <c r="O59" s="404"/>
      <c r="P59" s="448"/>
      <c r="Q59" s="303"/>
      <c r="R59" s="512"/>
      <c r="S59" s="404">
        <f>B56</f>
        <v>63</v>
      </c>
      <c r="T59" s="287">
        <f>$A56</f>
        <v>22</v>
      </c>
      <c r="U59" s="287">
        <v>4</v>
      </c>
      <c r="V59" s="287" t="s">
        <v>162</v>
      </c>
      <c r="W59" s="372" t="e">
        <f t="shared" ref="W59:AF59" si="8">F59</f>
        <v>#N/A</v>
      </c>
      <c r="X59" s="372" t="e">
        <f t="shared" si="8"/>
        <v>#N/A</v>
      </c>
      <c r="Y59" s="372" t="e">
        <f t="shared" si="8"/>
        <v>#N/A</v>
      </c>
      <c r="Z59" s="372" t="e">
        <f t="shared" si="8"/>
        <v>#N/A</v>
      </c>
      <c r="AA59" s="372" t="e">
        <f t="shared" si="8"/>
        <v>#N/A</v>
      </c>
      <c r="AB59" s="372" t="e">
        <f t="shared" si="8"/>
        <v>#N/A</v>
      </c>
      <c r="AC59" s="372" t="e">
        <f t="shared" si="8"/>
        <v>#N/A</v>
      </c>
      <c r="AD59" s="372">
        <f t="shared" si="8"/>
        <v>0</v>
      </c>
      <c r="AE59" s="372">
        <f t="shared" si="8"/>
        <v>0</v>
      </c>
      <c r="AF59" s="372">
        <f t="shared" si="8"/>
        <v>0</v>
      </c>
      <c r="AH59" s="231"/>
      <c r="AI59" s="231"/>
      <c r="AJ59" s="404">
        <v>55</v>
      </c>
      <c r="AK59" s="231"/>
    </row>
    <row r="60" spans="1:50" s="280" customFormat="1" ht="13.2" customHeight="1" thickBot="1" x14ac:dyDescent="0.3">
      <c r="A60" s="514"/>
      <c r="B60" s="461"/>
      <c r="C60" s="462" t="e">
        <f>VLOOKUP(B56,Уч!$A$2:$L$34,12,FALSE)</f>
        <v>#N/A</v>
      </c>
      <c r="D60" s="463"/>
      <c r="E60" s="510" t="s">
        <v>59</v>
      </c>
      <c r="F60" s="464" t="e">
        <f>RANK(F59,$W$16:$W$80,0)</f>
        <v>#N/A</v>
      </c>
      <c r="G60" s="461" t="e">
        <f>RANK(G59,$X$16:$X$80,0)</f>
        <v>#N/A</v>
      </c>
      <c r="H60" s="461" t="e">
        <f>RANK(H59,$Y$16:$Y$80,0)</f>
        <v>#N/A</v>
      </c>
      <c r="I60" s="461" t="e">
        <f>RANK(I59,$Z$16:$Z$80,0)</f>
        <v>#N/A</v>
      </c>
      <c r="J60" s="465" t="e">
        <f>RANK(J59,$AA$16:$AA$80,0)</f>
        <v>#N/A</v>
      </c>
      <c r="K60" s="461" t="e">
        <f>RANK(K59,$AB$16:$AB$80,0)</f>
        <v>#N/A</v>
      </c>
      <c r="L60" s="461" t="e">
        <f>RANK(L59,$AC$16:$AC$80,0)</f>
        <v>#N/A</v>
      </c>
      <c r="M60" s="461"/>
      <c r="N60" s="461"/>
      <c r="O60" s="461"/>
      <c r="P60" s="466"/>
      <c r="Q60" s="495"/>
      <c r="R60" s="513"/>
      <c r="S60" s="404">
        <f>B56</f>
        <v>63</v>
      </c>
      <c r="T60" s="287">
        <f>$A56</f>
        <v>22</v>
      </c>
      <c r="U60" s="287">
        <v>5</v>
      </c>
      <c r="V60" s="287" t="s">
        <v>162</v>
      </c>
      <c r="W60" s="449"/>
      <c r="X60" s="307"/>
      <c r="Y60" s="307"/>
      <c r="Z60" s="307"/>
      <c r="AA60" s="307"/>
      <c r="AB60" s="307"/>
      <c r="AC60" s="307"/>
      <c r="AD60" s="450"/>
      <c r="AE60" s="450"/>
      <c r="AF60" s="450"/>
      <c r="AJ60" s="404">
        <v>55</v>
      </c>
      <c r="AK60" s="231"/>
    </row>
    <row r="61" spans="1:50" s="280" customFormat="1" ht="13.2" customHeight="1" thickTop="1" x14ac:dyDescent="0.35">
      <c r="A61" s="469">
        <v>23</v>
      </c>
      <c r="B61" s="404">
        <v>15</v>
      </c>
      <c r="C61" s="443" t="e">
        <f>VLOOKUP(B61,Уч!$A$2:$L$34,2,FALSE)</f>
        <v>#N/A</v>
      </c>
      <c r="D61" s="444" t="e">
        <f>VLOOKUP(B61,Уч!$A$2:$L$34,3,FALSE)</f>
        <v>#N/A</v>
      </c>
      <c r="E61" s="509" t="s">
        <v>19</v>
      </c>
      <c r="F61" s="445" t="e">
        <f>VLOOKUP($B61,'100 м 1'!$C$18:$I$87,5,FALSE)</f>
        <v>#N/A</v>
      </c>
      <c r="G61" s="446" t="e">
        <f>VLOOKUP($B61,'длина 2 '!$C$16:$O$54,11,FALSE)</f>
        <v>#N/A</v>
      </c>
      <c r="H61" s="446" t="e">
        <f>VLOOKUP($B61,'ядро 2'!$C$16:$K$60,8,FALSE)</f>
        <v>#N/A</v>
      </c>
      <c r="I61" s="446" t="e">
        <f>VLOOKUP($B61,'высота 2'!$C$16:$AF$57,29,FALSE)</f>
        <v>#N/A</v>
      </c>
      <c r="J61" s="447" t="e">
        <f>VLOOKUP($B61,'4_р'!$C$17:$H$73,5,FALSE)</f>
        <v>#N/A</v>
      </c>
      <c r="K61" s="446" t="e">
        <f>VLOOKUP($B61,'1cб_р'!$C$17:$I$67,5,FALSE)</f>
        <v>#N/A</v>
      </c>
      <c r="L61" s="446" t="e">
        <f>VLOOKUP($B61,Дс_р!$C$16:$K$70,8,FALSE)</f>
        <v>#N/A</v>
      </c>
      <c r="M61" s="446"/>
      <c r="N61" s="446"/>
      <c r="O61" s="404"/>
      <c r="P61" s="448" t="e">
        <f>SUM(F63:O63)</f>
        <v>#N/A</v>
      </c>
      <c r="Q61" s="469" t="e">
        <f>LOOKUP(P61,Y$1:AH$1,Y$2:AH$2)</f>
        <v>#N/A</v>
      </c>
      <c r="R61" s="511" t="e">
        <f>AH61+AI61+5</f>
        <v>#N/A</v>
      </c>
      <c r="S61" s="404">
        <f>B61</f>
        <v>15</v>
      </c>
      <c r="T61" s="287">
        <f>$A61</f>
        <v>23</v>
      </c>
      <c r="U61" s="287">
        <v>1</v>
      </c>
      <c r="V61" s="287">
        <f>$A61</f>
        <v>23</v>
      </c>
      <c r="W61" s="449"/>
      <c r="X61" s="307"/>
      <c r="Y61" s="307"/>
      <c r="Z61" s="307"/>
      <c r="AA61" s="307"/>
      <c r="AB61" s="307"/>
      <c r="AC61" s="307"/>
      <c r="AD61" s="450"/>
      <c r="AE61" s="450"/>
      <c r="AF61" s="450"/>
      <c r="AH61" s="280" t="e">
        <f>IF(AND(T61&gt;16,P61&gt;=6200),"1",LOOKUP(T61,Y$5:AO$5,Y$6:AO$6))</f>
        <v>#N/A</v>
      </c>
      <c r="AI61" s="280" t="e">
        <f>LOOKUP(Q61,Y$8:AD$8,Y$9:AD$9)</f>
        <v>#N/A</v>
      </c>
      <c r="AJ61" s="404">
        <v>334</v>
      </c>
      <c r="AK61" s="231"/>
      <c r="AP61" s="287"/>
      <c r="AQ61" s="287"/>
      <c r="AR61" s="287"/>
      <c r="AS61" s="287"/>
      <c r="AT61" s="287"/>
      <c r="AU61" s="287"/>
      <c r="AV61" s="287"/>
      <c r="AW61" s="287"/>
      <c r="AX61" s="287"/>
    </row>
    <row r="62" spans="1:50" s="280" customFormat="1" ht="13.2" customHeight="1" x14ac:dyDescent="0.35">
      <c r="A62" s="469"/>
      <c r="B62" s="404"/>
      <c r="C62" s="451" t="e">
        <f>VLOOKUP(B61,Уч!$A$2:$L$34,5,FALSE)</f>
        <v>#N/A</v>
      </c>
      <c r="D62" s="444" t="e">
        <f>VLOOKUP(B61,Уч!$A$2:$L$34,4,FALSE)</f>
        <v>#N/A</v>
      </c>
      <c r="E62" s="509" t="s">
        <v>25</v>
      </c>
      <c r="F62" s="453" t="e">
        <f>VLOOKUP($B61,'100 м 1'!$C$18:$I$87,6,FALSE)</f>
        <v>#N/A</v>
      </c>
      <c r="G62" s="454" t="e">
        <f>VLOOKUP($B61,'длина 2 '!$C$16:$O$54,12,FALSE)</f>
        <v>#N/A</v>
      </c>
      <c r="H62" s="404"/>
      <c r="I62" s="454"/>
      <c r="J62" s="455"/>
      <c r="K62" s="454" t="e">
        <f>VLOOKUP($B61,'1cб_р'!$C$17:$I$67,6,FALSE)</f>
        <v>#N/A</v>
      </c>
      <c r="L62" s="454"/>
      <c r="M62" s="454"/>
      <c r="N62" s="404"/>
      <c r="O62" s="404"/>
      <c r="P62" s="448"/>
      <c r="Q62" s="303"/>
      <c r="R62" s="511" t="e">
        <f>CONCATENATE(AH61,"+",AI61,"+",5)</f>
        <v>#N/A</v>
      </c>
      <c r="S62" s="404">
        <f>B61</f>
        <v>15</v>
      </c>
      <c r="T62" s="287">
        <f>$A61</f>
        <v>23</v>
      </c>
      <c r="U62" s="287">
        <v>2</v>
      </c>
      <c r="V62" s="287">
        <f>$A61</f>
        <v>23</v>
      </c>
      <c r="W62" s="449"/>
      <c r="X62" s="307"/>
      <c r="Y62" s="307"/>
      <c r="Z62" s="307"/>
      <c r="AA62" s="307"/>
      <c r="AB62" s="307"/>
      <c r="AC62" s="307"/>
      <c r="AD62" s="450"/>
      <c r="AE62" s="450"/>
      <c r="AF62" s="450"/>
      <c r="AH62" s="231"/>
      <c r="AI62" s="231"/>
      <c r="AJ62" s="404">
        <v>334</v>
      </c>
      <c r="AK62" s="231"/>
      <c r="AP62" s="287"/>
      <c r="AQ62" s="287"/>
      <c r="AR62" s="287"/>
      <c r="AS62" s="287"/>
      <c r="AT62" s="287"/>
      <c r="AU62" s="287"/>
      <c r="AV62" s="287"/>
      <c r="AW62" s="287"/>
      <c r="AX62" s="287"/>
    </row>
    <row r="63" spans="1:50" s="280" customFormat="1" ht="13.2" customHeight="1" x14ac:dyDescent="0.35">
      <c r="A63" s="469"/>
      <c r="B63" s="404"/>
      <c r="C63" s="457" t="e">
        <f>VLOOKUP(B61,Уч!$A$2:$L$34,7,FALSE)</f>
        <v>#N/A</v>
      </c>
      <c r="D63" s="444"/>
      <c r="E63" s="509" t="s">
        <v>29</v>
      </c>
      <c r="F63" s="458" t="e">
        <f>VLOOKUP($B61,'100 м 1'!$C$18:$I$87,7,FALSE)</f>
        <v>#N/A</v>
      </c>
      <c r="G63" s="404" t="e">
        <f>VLOOKUP($B61,'длина 2 '!$C$16:$O$54,13,FALSE)</f>
        <v>#N/A</v>
      </c>
      <c r="H63" s="404" t="e">
        <f>VLOOKUP($B61,'ядро 2'!$C$16:$K$60,9,FALSE)</f>
        <v>#N/A</v>
      </c>
      <c r="I63" s="404" t="e">
        <f>VLOOKUP($B61,'высота 2'!$C$16:$AF$57,30,)</f>
        <v>#N/A</v>
      </c>
      <c r="J63" s="459" t="e">
        <f>VLOOKUP($B61,'4_р'!$C$17:$H$73,6,FALSE)</f>
        <v>#N/A</v>
      </c>
      <c r="K63" s="404" t="e">
        <f>VLOOKUP($B61,'1cб_р'!$C$17:$I$67,7,FALSE)</f>
        <v>#N/A</v>
      </c>
      <c r="L63" s="404" t="e">
        <f>VLOOKUP($B61,Дс_р!$C$16:$K$70,9,FALSE)</f>
        <v>#N/A</v>
      </c>
      <c r="M63" s="404"/>
      <c r="N63" s="404"/>
      <c r="O63" s="404"/>
      <c r="P63" s="448"/>
      <c r="Q63" s="303"/>
      <c r="R63" s="512"/>
      <c r="S63" s="404">
        <f>B61</f>
        <v>15</v>
      </c>
      <c r="T63" s="287">
        <f>$A61</f>
        <v>23</v>
      </c>
      <c r="U63" s="287">
        <v>3</v>
      </c>
      <c r="V63" s="287">
        <f>$A61</f>
        <v>23</v>
      </c>
      <c r="W63" s="449"/>
      <c r="X63" s="307"/>
      <c r="Y63" s="307"/>
      <c r="Z63" s="307"/>
      <c r="AA63" s="307"/>
      <c r="AB63" s="307"/>
      <c r="AC63" s="307"/>
      <c r="AD63" s="450"/>
      <c r="AE63" s="450"/>
      <c r="AF63" s="450"/>
      <c r="AH63" s="231"/>
      <c r="AI63" s="231"/>
      <c r="AJ63" s="404">
        <v>334</v>
      </c>
      <c r="AK63" s="231"/>
      <c r="AP63" s="287"/>
      <c r="AQ63" s="287"/>
      <c r="AR63" s="287"/>
      <c r="AS63" s="287"/>
      <c r="AT63" s="287"/>
      <c r="AU63" s="287"/>
      <c r="AV63" s="287"/>
      <c r="AW63" s="287"/>
      <c r="AX63" s="287"/>
    </row>
    <row r="64" spans="1:50" s="280" customFormat="1" ht="13.2" customHeight="1" x14ac:dyDescent="0.35">
      <c r="A64" s="469"/>
      <c r="B64" s="404"/>
      <c r="C64" s="451" t="e">
        <f>VLOOKUP(B61,Уч!$A$2:$L$34,11,FALSE)</f>
        <v>#N/A</v>
      </c>
      <c r="D64" s="444"/>
      <c r="E64" s="509" t="s">
        <v>276</v>
      </c>
      <c r="F64" s="458" t="e">
        <f>F63</f>
        <v>#N/A</v>
      </c>
      <c r="G64" s="404" t="e">
        <f>F64+G63</f>
        <v>#N/A</v>
      </c>
      <c r="H64" s="404" t="e">
        <f>G64+H63</f>
        <v>#N/A</v>
      </c>
      <c r="I64" s="404" t="e">
        <f>H64+I63</f>
        <v>#N/A</v>
      </c>
      <c r="J64" s="459" t="e">
        <f>SUM($F63:J63)</f>
        <v>#N/A</v>
      </c>
      <c r="K64" s="404" t="e">
        <f>SUM($F63:$K63)</f>
        <v>#N/A</v>
      </c>
      <c r="L64" s="404" t="e">
        <f>K64+L63</f>
        <v>#N/A</v>
      </c>
      <c r="M64" s="404"/>
      <c r="N64" s="404"/>
      <c r="O64" s="404"/>
      <c r="P64" s="448"/>
      <c r="Q64" s="303"/>
      <c r="R64" s="512"/>
      <c r="S64" s="404">
        <f>B61</f>
        <v>15</v>
      </c>
      <c r="T64" s="287">
        <f>$A61</f>
        <v>23</v>
      </c>
      <c r="U64" s="287">
        <v>4</v>
      </c>
      <c r="V64" s="287">
        <f>$A61</f>
        <v>23</v>
      </c>
      <c r="W64" s="372" t="e">
        <f t="shared" ref="W64:AF64" si="9">F64</f>
        <v>#N/A</v>
      </c>
      <c r="X64" s="372" t="e">
        <f t="shared" si="9"/>
        <v>#N/A</v>
      </c>
      <c r="Y64" s="372" t="e">
        <f t="shared" si="9"/>
        <v>#N/A</v>
      </c>
      <c r="Z64" s="372" t="e">
        <f t="shared" si="9"/>
        <v>#N/A</v>
      </c>
      <c r="AA64" s="372" t="e">
        <f t="shared" si="9"/>
        <v>#N/A</v>
      </c>
      <c r="AB64" s="372" t="e">
        <f t="shared" si="9"/>
        <v>#N/A</v>
      </c>
      <c r="AC64" s="372" t="e">
        <f t="shared" si="9"/>
        <v>#N/A</v>
      </c>
      <c r="AD64" s="372">
        <f t="shared" si="9"/>
        <v>0</v>
      </c>
      <c r="AE64" s="372">
        <f t="shared" si="9"/>
        <v>0</v>
      </c>
      <c r="AF64" s="372">
        <f t="shared" si="9"/>
        <v>0</v>
      </c>
      <c r="AH64" s="231"/>
      <c r="AI64" s="231"/>
      <c r="AJ64" s="404">
        <v>334</v>
      </c>
      <c r="AK64" s="231"/>
      <c r="AP64" s="287"/>
      <c r="AQ64" s="287"/>
      <c r="AR64" s="287"/>
      <c r="AS64" s="287"/>
      <c r="AT64" s="287"/>
      <c r="AU64" s="287"/>
      <c r="AV64" s="287"/>
      <c r="AW64" s="287"/>
      <c r="AX64" s="287"/>
    </row>
    <row r="65" spans="1:50" s="280" customFormat="1" ht="13.2" customHeight="1" thickBot="1" x14ac:dyDescent="0.3">
      <c r="A65" s="514"/>
      <c r="B65" s="461"/>
      <c r="C65" s="462" t="e">
        <f>VLOOKUP(B61,Уч!$A$2:$L$34,12,FALSE)</f>
        <v>#N/A</v>
      </c>
      <c r="D65" s="467"/>
      <c r="E65" s="510" t="s">
        <v>59</v>
      </c>
      <c r="F65" s="464" t="e">
        <f>RANK(F64,$W$16:$W$80,0)</f>
        <v>#N/A</v>
      </c>
      <c r="G65" s="461" t="e">
        <f>RANK(G64,$X$16:$X$80,0)</f>
        <v>#N/A</v>
      </c>
      <c r="H65" s="461" t="e">
        <f>RANK(H64,$Y$16:$Y$80,0)</f>
        <v>#N/A</v>
      </c>
      <c r="I65" s="461" t="e">
        <f>RANK(I64,$Z$16:$Z$80,0)</f>
        <v>#N/A</v>
      </c>
      <c r="J65" s="465" t="e">
        <f>RANK(J64,$AA$16:$AA$80,0)</f>
        <v>#N/A</v>
      </c>
      <c r="K65" s="461" t="e">
        <f>RANK(K64,$AB$16:$AB$80,0)</f>
        <v>#N/A</v>
      </c>
      <c r="L65" s="461" t="e">
        <f>RANK(L64,$AC$16:$AC$80,0)</f>
        <v>#N/A</v>
      </c>
      <c r="M65" s="461"/>
      <c r="N65" s="461"/>
      <c r="O65" s="461"/>
      <c r="P65" s="466"/>
      <c r="Q65" s="495"/>
      <c r="R65" s="513"/>
      <c r="S65" s="205">
        <f>B61</f>
        <v>15</v>
      </c>
      <c r="T65" s="287">
        <f>$A61</f>
        <v>23</v>
      </c>
      <c r="U65" s="287">
        <v>5</v>
      </c>
      <c r="V65" s="287">
        <f>$A61</f>
        <v>23</v>
      </c>
      <c r="W65" s="449"/>
      <c r="X65" s="307"/>
      <c r="Y65" s="307"/>
      <c r="Z65" s="307"/>
      <c r="AA65" s="307"/>
      <c r="AB65" s="307"/>
      <c r="AC65" s="307"/>
      <c r="AD65" s="450"/>
      <c r="AE65" s="450"/>
      <c r="AF65" s="450"/>
      <c r="AJ65" s="404">
        <v>334</v>
      </c>
      <c r="AK65" s="231"/>
      <c r="AP65" s="287"/>
      <c r="AQ65" s="287"/>
      <c r="AR65" s="287"/>
      <c r="AS65" s="287"/>
      <c r="AT65" s="287"/>
      <c r="AU65" s="287"/>
      <c r="AV65" s="287"/>
      <c r="AW65" s="287"/>
      <c r="AX65" s="287"/>
    </row>
    <row r="66" spans="1:50" s="280" customFormat="1" ht="13.2" customHeight="1" thickTop="1" x14ac:dyDescent="0.35">
      <c r="A66" s="469">
        <v>24</v>
      </c>
      <c r="B66" s="404">
        <v>22</v>
      </c>
      <c r="C66" s="443" t="str">
        <f>VLOOKUP(B66,Уч!$A$2:$L$34,2,FALSE)</f>
        <v>Чернов Евгений</v>
      </c>
      <c r="D66" s="444" t="str">
        <f>VLOOKUP(B66,Уч!$A$2:$L$34,3,FALSE)</f>
        <v>09.11.1991</v>
      </c>
      <c r="E66" s="509" t="s">
        <v>19</v>
      </c>
      <c r="F66" s="445">
        <f>VLOOKUP($B66,'100 м 1'!$C$18:$I$87,5,FALSE)</f>
        <v>11.8</v>
      </c>
      <c r="G66" s="446" t="e">
        <f>VLOOKUP($B66,'длина 2 '!$C$16:$O$54,11,FALSE)</f>
        <v>#N/A</v>
      </c>
      <c r="H66" s="446" t="e">
        <f>VLOOKUP($B66,'ядро 2'!$C$16:$K$60,8,FALSE)</f>
        <v>#N/A</v>
      </c>
      <c r="I66" s="446" t="e">
        <f>VLOOKUP($B66,'высота 2'!$C$16:$AF$57,29,FALSE)</f>
        <v>#N/A</v>
      </c>
      <c r="J66" s="447" t="e">
        <f>VLOOKUP($B66,'4_р'!$C$17:$H$73,5,FALSE)</f>
        <v>#N/A</v>
      </c>
      <c r="K66" s="446" t="e">
        <f>VLOOKUP($B66,'1cб_р'!$C$17:$I$67,5,FALSE)</f>
        <v>#N/A</v>
      </c>
      <c r="L66" s="446" t="e">
        <f>VLOOKUP($B66,Дс_р!$C$16:$K$70,8,FALSE)</f>
        <v>#N/A</v>
      </c>
      <c r="M66" s="471" t="e">
        <f>VLOOKUP($B66,Ш_р!$C$15:$AF$69,29,FALSE)</f>
        <v>#N/A</v>
      </c>
      <c r="N66" s="471" t="e">
        <f>VLOOKUP($B66,К_р!$C$15:$K$68,8,FALSE)</f>
        <v>#N/A</v>
      </c>
      <c r="O66" s="473">
        <f>VLOOKUP($B66,'15_р'!$C$17:$H$86,5,FALSE)</f>
        <v>0</v>
      </c>
      <c r="P66" s="491" t="e">
        <f>SUM(F68:O68)</f>
        <v>#N/A</v>
      </c>
      <c r="Q66" s="469" t="e">
        <f>LOOKUP(P66,Y$1:AH$1,Y$2:AH$2)</f>
        <v>#N/A</v>
      </c>
      <c r="R66" s="511" t="e">
        <f>AH66+AI66+5</f>
        <v>#N/A</v>
      </c>
      <c r="S66" s="404">
        <f>B66</f>
        <v>22</v>
      </c>
      <c r="T66" s="287">
        <f>$A66</f>
        <v>24</v>
      </c>
      <c r="U66" s="287">
        <v>1</v>
      </c>
      <c r="V66" s="287" t="s">
        <v>162</v>
      </c>
      <c r="W66" s="449"/>
      <c r="X66" s="307"/>
      <c r="Y66" s="307"/>
      <c r="Z66" s="307"/>
      <c r="AA66" s="307"/>
      <c r="AB66" s="307"/>
      <c r="AC66" s="307"/>
      <c r="AD66" s="450"/>
      <c r="AE66" s="450"/>
      <c r="AF66" s="450"/>
      <c r="AH66" s="280" t="e">
        <f>IF(AND(T66&gt;16,P66&gt;=6200),"1",LOOKUP(T66,Y$5:AO$5,Y$6:AO$6))</f>
        <v>#N/A</v>
      </c>
      <c r="AI66" s="280" t="e">
        <f>LOOKUP(Q66,Y$8:AD$8,Y$9:AD$9)</f>
        <v>#N/A</v>
      </c>
      <c r="AJ66" s="404">
        <v>506</v>
      </c>
      <c r="AK66" s="231"/>
    </row>
    <row r="67" spans="1:50" s="280" customFormat="1" ht="13.2" customHeight="1" x14ac:dyDescent="0.35">
      <c r="A67" s="469"/>
      <c r="B67" s="404"/>
      <c r="C67" s="451" t="str">
        <f>VLOOKUP(B66,Уч!$A$2:$L$34,5,FALSE)</f>
        <v xml:space="preserve">Краснодарский край  </v>
      </c>
      <c r="D67" s="444" t="str">
        <f>VLOOKUP(B66,Уч!$A$2:$L$34,4,FALSE)</f>
        <v>МС</v>
      </c>
      <c r="E67" s="509" t="s">
        <v>25</v>
      </c>
      <c r="F67" s="453">
        <f>VLOOKUP($B66,'100 м 1'!$C$18:$I$87,6,FALSE)</f>
        <v>0</v>
      </c>
      <c r="G67" s="454" t="e">
        <f>VLOOKUP($B66,'длина 2 '!$C$16:$O$54,12,FALSE)</f>
        <v>#N/A</v>
      </c>
      <c r="H67" s="404"/>
      <c r="I67" s="454"/>
      <c r="J67" s="455"/>
      <c r="K67" s="454" t="e">
        <f>VLOOKUP($B66,'1cб_р'!$C$17:$I$67,6,FALSE)</f>
        <v>#N/A</v>
      </c>
      <c r="L67" s="454"/>
      <c r="M67" s="476"/>
      <c r="N67" s="473"/>
      <c r="O67" s="473"/>
      <c r="P67" s="448"/>
      <c r="Q67" s="303"/>
      <c r="R67" s="511" t="e">
        <f>CONCATENATE(AH66,"+",AI66,"+",5)</f>
        <v>#N/A</v>
      </c>
      <c r="S67" s="404">
        <f>B66</f>
        <v>22</v>
      </c>
      <c r="T67" s="287">
        <f>$A66</f>
        <v>24</v>
      </c>
      <c r="U67" s="287">
        <v>2</v>
      </c>
      <c r="V67" s="287" t="s">
        <v>162</v>
      </c>
      <c r="W67" s="449"/>
      <c r="X67" s="307"/>
      <c r="Y67" s="307"/>
      <c r="Z67" s="307"/>
      <c r="AA67" s="307"/>
      <c r="AB67" s="307"/>
      <c r="AC67" s="307"/>
      <c r="AD67" s="450"/>
      <c r="AE67" s="450"/>
      <c r="AF67" s="450"/>
      <c r="AH67" s="231"/>
      <c r="AI67" s="231"/>
      <c r="AJ67" s="404">
        <v>506</v>
      </c>
      <c r="AK67" s="231"/>
    </row>
    <row r="68" spans="1:50" s="280" customFormat="1" ht="13.2" customHeight="1" x14ac:dyDescent="0.35">
      <c r="A68" s="469"/>
      <c r="B68" s="404"/>
      <c r="C68" s="457" t="str">
        <f>VLOOKUP(B66,Уч!$A$2:$L$34,7,FALSE)</f>
        <v>ГБУ КК "ЦОП по легкой атлетике", ГБУ КК  "РЦСП по легкой атлетике"</v>
      </c>
      <c r="D68" s="444"/>
      <c r="E68" s="509" t="s">
        <v>29</v>
      </c>
      <c r="F68" s="458">
        <f>VLOOKUP($B66,'100 м 1'!$C$18:$I$87,7,FALSE)</f>
        <v>691</v>
      </c>
      <c r="G68" s="404" t="e">
        <f>VLOOKUP($B66,'длина 2 '!$C$16:$O$54,13,FALSE)</f>
        <v>#N/A</v>
      </c>
      <c r="H68" s="404" t="e">
        <f>VLOOKUP($B66,'ядро 2'!$C$16:$K$60,9,FALSE)</f>
        <v>#N/A</v>
      </c>
      <c r="I68" s="404" t="e">
        <f>VLOOKUP($B66,'высота 2'!$C$16:$AF$57,30,)</f>
        <v>#N/A</v>
      </c>
      <c r="J68" s="459" t="e">
        <f>VLOOKUP($B66,'4_р'!$C$17:$H$73,6,FALSE)</f>
        <v>#N/A</v>
      </c>
      <c r="K68" s="404" t="e">
        <f>VLOOKUP($B66,'1cб_р'!$C$17:$I$67,7,FALSE)</f>
        <v>#N/A</v>
      </c>
      <c r="L68" s="404" t="e">
        <f>VLOOKUP($B66,Дс_р!$C$16:$K$70,9,FALSE)</f>
        <v>#N/A</v>
      </c>
      <c r="M68" s="473" t="e">
        <f>VLOOKUP($B66,Ш_р!$C$15:$AF$69,30,FALSE)</f>
        <v>#N/A</v>
      </c>
      <c r="N68" s="473" t="e">
        <f>VLOOKUP($B66,К_р!$C$15:$K$68,9,FALSE)</f>
        <v>#N/A</v>
      </c>
      <c r="O68" s="473">
        <f>VLOOKUP($B66,'15_р'!$C$17:$H$86,6,FALSE)</f>
        <v>0</v>
      </c>
      <c r="P68" s="448"/>
      <c r="Q68" s="372"/>
      <c r="R68" s="512"/>
      <c r="S68" s="404">
        <f>B66</f>
        <v>22</v>
      </c>
      <c r="T68" s="287">
        <f>$A66</f>
        <v>24</v>
      </c>
      <c r="U68" s="287">
        <v>3</v>
      </c>
      <c r="V68" s="287" t="s">
        <v>162</v>
      </c>
      <c r="W68" s="449"/>
      <c r="X68" s="307"/>
      <c r="Y68" s="307"/>
      <c r="Z68" s="307"/>
      <c r="AA68" s="307"/>
      <c r="AB68" s="307"/>
      <c r="AC68" s="307"/>
      <c r="AD68" s="450"/>
      <c r="AE68" s="450"/>
      <c r="AF68" s="450"/>
      <c r="AH68" s="231"/>
      <c r="AI68" s="231"/>
      <c r="AJ68" s="404">
        <v>506</v>
      </c>
      <c r="AK68" s="231"/>
    </row>
    <row r="69" spans="1:50" s="280" customFormat="1" ht="13.2" customHeight="1" x14ac:dyDescent="0.35">
      <c r="A69" s="469"/>
      <c r="B69" s="404"/>
      <c r="C69" s="451" t="str">
        <f>VLOOKUP(B66,Уч!$A$2:$L$34,11,FALSE)</f>
        <v>Чернов С.А., Мирошниченко В.И., Чернова Т.С.</v>
      </c>
      <c r="D69" s="444"/>
      <c r="E69" s="509" t="s">
        <v>276</v>
      </c>
      <c r="F69" s="458">
        <f>F68</f>
        <v>691</v>
      </c>
      <c r="G69" s="404" t="e">
        <f>F69+G68</f>
        <v>#N/A</v>
      </c>
      <c r="H69" s="404" t="e">
        <f>G69+H68</f>
        <v>#N/A</v>
      </c>
      <c r="I69" s="404" t="e">
        <f>H69+I68</f>
        <v>#N/A</v>
      </c>
      <c r="J69" s="459" t="e">
        <f>SUM($F68:J68)</f>
        <v>#N/A</v>
      </c>
      <c r="K69" s="404" t="e">
        <f>SUM($F68:$K68)</f>
        <v>#N/A</v>
      </c>
      <c r="L69" s="404" t="e">
        <f>K69+L68</f>
        <v>#N/A</v>
      </c>
      <c r="M69" s="473" t="e">
        <f>L69+M68</f>
        <v>#N/A</v>
      </c>
      <c r="N69" s="473" t="e">
        <f>SUM($F68:$N68)</f>
        <v>#N/A</v>
      </c>
      <c r="O69" s="473" t="e">
        <f>SUM($F68:$O68)</f>
        <v>#N/A</v>
      </c>
      <c r="P69" s="448"/>
      <c r="Q69" s="372"/>
      <c r="R69" s="512"/>
      <c r="S69" s="404">
        <f>B66</f>
        <v>22</v>
      </c>
      <c r="T69" s="287">
        <f>$A66</f>
        <v>24</v>
      </c>
      <c r="U69" s="287">
        <v>4</v>
      </c>
      <c r="V69" s="287" t="s">
        <v>162</v>
      </c>
      <c r="W69" s="372">
        <f t="shared" ref="W69:AF69" si="10">F69</f>
        <v>691</v>
      </c>
      <c r="X69" s="372" t="e">
        <f t="shared" si="10"/>
        <v>#N/A</v>
      </c>
      <c r="Y69" s="372" t="e">
        <f t="shared" si="10"/>
        <v>#N/A</v>
      </c>
      <c r="Z69" s="372" t="e">
        <f t="shared" si="10"/>
        <v>#N/A</v>
      </c>
      <c r="AA69" s="372" t="e">
        <f t="shared" si="10"/>
        <v>#N/A</v>
      </c>
      <c r="AB69" s="372" t="e">
        <f t="shared" si="10"/>
        <v>#N/A</v>
      </c>
      <c r="AC69" s="372" t="e">
        <f t="shared" si="10"/>
        <v>#N/A</v>
      </c>
      <c r="AD69" s="372" t="e">
        <f t="shared" si="10"/>
        <v>#N/A</v>
      </c>
      <c r="AE69" s="372" t="e">
        <f t="shared" si="10"/>
        <v>#N/A</v>
      </c>
      <c r="AF69" s="372" t="e">
        <f t="shared" si="10"/>
        <v>#N/A</v>
      </c>
      <c r="AH69" s="231"/>
      <c r="AI69" s="231"/>
      <c r="AJ69" s="404">
        <v>506</v>
      </c>
      <c r="AK69" s="231"/>
    </row>
    <row r="70" spans="1:50" s="280" customFormat="1" ht="13.2" customHeight="1" thickBot="1" x14ac:dyDescent="0.3">
      <c r="A70" s="514"/>
      <c r="B70" s="461"/>
      <c r="C70" s="462">
        <f>VLOOKUP(B66,Уч!$A$2:$L$34,12,FALSE)</f>
        <v>0</v>
      </c>
      <c r="D70" s="467"/>
      <c r="E70" s="510" t="s">
        <v>59</v>
      </c>
      <c r="F70" s="464" t="e">
        <f>RANK(F69,$W$16:$W$80,0)</f>
        <v>#N/A</v>
      </c>
      <c r="G70" s="461" t="e">
        <f>RANK(G69,$X$16:$X$80,0)</f>
        <v>#N/A</v>
      </c>
      <c r="H70" s="461" t="e">
        <f>RANK(H69,$Y$16:$Y$80,0)</f>
        <v>#N/A</v>
      </c>
      <c r="I70" s="461" t="e">
        <f>RANK(I69,$Z$16:$Z$80,0)</f>
        <v>#N/A</v>
      </c>
      <c r="J70" s="465" t="e">
        <f>RANK(J69,$AA$16:$AA$80,0)</f>
        <v>#N/A</v>
      </c>
      <c r="K70" s="461" t="e">
        <f>RANK(K69,$AB$16:$AB$80,0)</f>
        <v>#N/A</v>
      </c>
      <c r="L70" s="461" t="e">
        <f>RANK(L69,$AC$16:$AC$80,0)</f>
        <v>#N/A</v>
      </c>
      <c r="M70" s="481" t="e">
        <f>RANK(M69,$AD$16:$AD$80,0)</f>
        <v>#N/A</v>
      </c>
      <c r="N70" s="481" t="e">
        <f>RANK(N69,$AE$16:$AE$80,0)</f>
        <v>#N/A</v>
      </c>
      <c r="O70" s="481" t="e">
        <f>RANK(O69,$AF$16:$AF$80,0)</f>
        <v>#N/A</v>
      </c>
      <c r="P70" s="466"/>
      <c r="Q70" s="442"/>
      <c r="R70" s="513"/>
      <c r="S70" s="205">
        <f>B66</f>
        <v>22</v>
      </c>
      <c r="T70" s="287">
        <f>$A66</f>
        <v>24</v>
      </c>
      <c r="U70" s="287">
        <v>5</v>
      </c>
      <c r="V70" s="287" t="s">
        <v>162</v>
      </c>
      <c r="W70" s="449"/>
      <c r="X70" s="307"/>
      <c r="Y70" s="307"/>
      <c r="Z70" s="307"/>
      <c r="AA70" s="307"/>
      <c r="AB70" s="307"/>
      <c r="AC70" s="307"/>
      <c r="AD70" s="450"/>
      <c r="AE70" s="450"/>
      <c r="AF70" s="450"/>
      <c r="AJ70" s="404">
        <v>506</v>
      </c>
      <c r="AK70" s="231"/>
    </row>
    <row r="71" spans="1:50" s="280" customFormat="1" ht="13.2" customHeight="1" thickTop="1" x14ac:dyDescent="0.35">
      <c r="A71" s="469">
        <v>25</v>
      </c>
      <c r="B71" s="404">
        <v>66</v>
      </c>
      <c r="C71" s="443" t="e">
        <f>VLOOKUP(B71,Уч!$A$2:$L$34,2,FALSE)</f>
        <v>#N/A</v>
      </c>
      <c r="D71" s="444" t="e">
        <f>VLOOKUP(B71,Уч!$A$2:$L$34,3,FALSE)</f>
        <v>#N/A</v>
      </c>
      <c r="E71" s="509" t="s">
        <v>19</v>
      </c>
      <c r="F71" s="445" t="e">
        <f>VLOOKUP($B71,'100 м 1'!$C$18:$I$87,5,FALSE)</f>
        <v>#N/A</v>
      </c>
      <c r="G71" s="471" t="e">
        <f>VLOOKUP($B71,'длина 2 '!$C$16:$O$54,11,FALSE)</f>
        <v>#N/A</v>
      </c>
      <c r="H71" s="471" t="e">
        <f>VLOOKUP($B71,'ядро 2'!$C$16:$K$60,8,FALSE)</f>
        <v>#N/A</v>
      </c>
      <c r="I71" s="471" t="e">
        <f>VLOOKUP($B71,'высота 2'!$C$16:$AF$57,29,FALSE)</f>
        <v>#N/A</v>
      </c>
      <c r="J71" s="472" t="e">
        <f>VLOOKUP($B71,'4_р'!$C$17:$H$73,5,FALSE)</f>
        <v>#N/A</v>
      </c>
      <c r="K71" s="471">
        <f>VLOOKUP($B71,'1cб_р'!$C$17:$I$67,5,FALSE)</f>
        <v>0</v>
      </c>
      <c r="L71" s="471">
        <f>VLOOKUP($B71,Дс_р!$C$16:$K$70,8,FALSE)</f>
        <v>0</v>
      </c>
      <c r="M71" s="471">
        <f>VLOOKUP($B71,Ш_р!$C$15:$AF$69,29,FALSE)</f>
        <v>0</v>
      </c>
      <c r="N71" s="471">
        <f>VLOOKUP($B71,К_р!$C$15:$K$68,8,FALSE)</f>
        <v>0</v>
      </c>
      <c r="O71" s="473">
        <f>VLOOKUP($B71,'15_р'!$C$17:$H$86,5,FALSE)</f>
        <v>0</v>
      </c>
      <c r="P71" s="491" t="e">
        <f>SUM(F73:O73)</f>
        <v>#N/A</v>
      </c>
      <c r="Q71" s="469" t="e">
        <f>LOOKUP(P71,Y$1:AH$1,Y$2:AH$2)</f>
        <v>#N/A</v>
      </c>
      <c r="R71" s="511" t="e">
        <f>AH71+AI71+5</f>
        <v>#N/A</v>
      </c>
      <c r="S71" s="404">
        <f>B71</f>
        <v>66</v>
      </c>
      <c r="T71" s="287">
        <f>$A71</f>
        <v>25</v>
      </c>
      <c r="U71" s="287">
        <v>1</v>
      </c>
      <c r="V71" s="287">
        <f>$A71</f>
        <v>25</v>
      </c>
      <c r="W71" s="449"/>
      <c r="X71" s="307"/>
      <c r="Y71" s="307"/>
      <c r="Z71" s="307"/>
      <c r="AA71" s="307"/>
      <c r="AB71" s="307"/>
      <c r="AC71" s="307"/>
      <c r="AD71" s="450"/>
      <c r="AE71" s="450"/>
      <c r="AF71" s="450"/>
      <c r="AH71" s="280" t="e">
        <f>IF(AND(T71&gt;16,P71&gt;=6200),"1",LOOKUP(T71,Y$5:AO$5,Y$6:AO$6))</f>
        <v>#N/A</v>
      </c>
      <c r="AI71" s="280" t="e">
        <f>LOOKUP(Q71,Y$8:AD$8,Y$9:AD$9)</f>
        <v>#N/A</v>
      </c>
      <c r="AJ71" s="404">
        <v>449</v>
      </c>
      <c r="AK71" s="231"/>
    </row>
    <row r="72" spans="1:50" s="280" customFormat="1" ht="13.2" customHeight="1" x14ac:dyDescent="0.35">
      <c r="A72" s="469"/>
      <c r="B72" s="404"/>
      <c r="C72" s="451" t="e">
        <f>VLOOKUP(B71,Уч!$A$2:$L$34,5,FALSE)</f>
        <v>#N/A</v>
      </c>
      <c r="D72" s="452" t="e">
        <f>VLOOKUP(B71,Уч!$A$2:$L$34,4,FALSE)</f>
        <v>#N/A</v>
      </c>
      <c r="E72" s="509" t="s">
        <v>25</v>
      </c>
      <c r="F72" s="453" t="e">
        <f>VLOOKUP($B71,'100 м 1'!$C$18:$I$87,6,FALSE)</f>
        <v>#N/A</v>
      </c>
      <c r="G72" s="476" t="e">
        <f>VLOOKUP($B71,'длина 2 '!$C$16:$O$54,12,FALSE)</f>
        <v>#N/A</v>
      </c>
      <c r="H72" s="473"/>
      <c r="I72" s="476"/>
      <c r="J72" s="477"/>
      <c r="K72" s="476">
        <f>VLOOKUP($B71,'1cб_р'!$C$17:$I$67,6,FALSE)</f>
        <v>0</v>
      </c>
      <c r="L72" s="476"/>
      <c r="M72" s="476"/>
      <c r="N72" s="473"/>
      <c r="O72" s="473"/>
      <c r="P72" s="448"/>
      <c r="Q72" s="456"/>
      <c r="R72" s="511" t="e">
        <f>CONCATENATE(AH71,"+",AI71,"+",5)</f>
        <v>#N/A</v>
      </c>
      <c r="S72" s="404">
        <f>B71</f>
        <v>66</v>
      </c>
      <c r="T72" s="287">
        <f>$A71</f>
        <v>25</v>
      </c>
      <c r="U72" s="287">
        <v>2</v>
      </c>
      <c r="V72" s="287">
        <f>$A71</f>
        <v>25</v>
      </c>
      <c r="W72" s="449"/>
      <c r="X72" s="307"/>
      <c r="Y72" s="307"/>
      <c r="Z72" s="307"/>
      <c r="AA72" s="307"/>
      <c r="AB72" s="307"/>
      <c r="AC72" s="307"/>
      <c r="AD72" s="450"/>
      <c r="AE72" s="450"/>
      <c r="AF72" s="450"/>
      <c r="AH72" s="231"/>
      <c r="AI72" s="231"/>
      <c r="AJ72" s="404">
        <v>449</v>
      </c>
      <c r="AK72" s="231"/>
    </row>
    <row r="73" spans="1:50" s="280" customFormat="1" ht="13.2" customHeight="1" x14ac:dyDescent="0.35">
      <c r="A73" s="469"/>
      <c r="B73" s="404"/>
      <c r="C73" s="457" t="e">
        <f>VLOOKUP(B71,Уч!$A$2:$L$34,7,FALSE)</f>
        <v>#N/A</v>
      </c>
      <c r="D73" s="452"/>
      <c r="E73" s="509" t="s">
        <v>29</v>
      </c>
      <c r="F73" s="458" t="e">
        <f>VLOOKUP($B71,'100 м 1'!$C$18:$I$87,7,FALSE)</f>
        <v>#N/A</v>
      </c>
      <c r="G73" s="473" t="e">
        <f>VLOOKUP($B71,'длина 2 '!$C$16:$O$54,13,FALSE)</f>
        <v>#N/A</v>
      </c>
      <c r="H73" s="473" t="e">
        <f>VLOOKUP($B71,'ядро 2'!$C$16:$K$60,9,FALSE)</f>
        <v>#N/A</v>
      </c>
      <c r="I73" s="473" t="e">
        <f>VLOOKUP($B71,'высота 2'!$C$16:$AF$57,30,)</f>
        <v>#N/A</v>
      </c>
      <c r="J73" s="479" t="e">
        <f>VLOOKUP($B71,'4_р'!$C$17:$H$73,6,FALSE)</f>
        <v>#N/A</v>
      </c>
      <c r="K73" s="473">
        <f>VLOOKUP($B71,'1cб_р'!$C$17:$I$67,7,FALSE)</f>
        <v>0</v>
      </c>
      <c r="L73" s="473">
        <f>VLOOKUP($B71,Дс_р!$C$16:$K$70,9,FALSE)</f>
        <v>0</v>
      </c>
      <c r="M73" s="473">
        <f>VLOOKUP($B71,Ш_р!$C$15:$AF$69,30,FALSE)</f>
        <v>0</v>
      </c>
      <c r="N73" s="473">
        <f>VLOOKUP($B71,К_р!$C$15:$K$68,9,FALSE)</f>
        <v>0</v>
      </c>
      <c r="O73" s="473">
        <f>VLOOKUP($B71,'15_р'!$C$17:$H$86,6,FALSE)</f>
        <v>0</v>
      </c>
      <c r="P73" s="448"/>
      <c r="Q73" s="468"/>
      <c r="R73" s="372"/>
      <c r="S73" s="404">
        <f>B71</f>
        <v>66</v>
      </c>
      <c r="T73" s="287">
        <f>$A71</f>
        <v>25</v>
      </c>
      <c r="U73" s="287">
        <v>3</v>
      </c>
      <c r="V73" s="287">
        <f>$A71</f>
        <v>25</v>
      </c>
      <c r="W73" s="449"/>
      <c r="X73" s="307"/>
      <c r="Y73" s="307"/>
      <c r="Z73" s="307"/>
      <c r="AA73" s="307"/>
      <c r="AB73" s="307"/>
      <c r="AC73" s="307"/>
      <c r="AD73" s="450"/>
      <c r="AE73" s="450"/>
      <c r="AF73" s="450"/>
      <c r="AH73" s="231"/>
      <c r="AI73" s="231"/>
      <c r="AJ73" s="404">
        <v>449</v>
      </c>
      <c r="AK73" s="231"/>
    </row>
    <row r="74" spans="1:50" s="280" customFormat="1" ht="13.2" customHeight="1" x14ac:dyDescent="0.35">
      <c r="A74" s="469"/>
      <c r="B74" s="404"/>
      <c r="C74" s="451" t="e">
        <f>VLOOKUP(B71,Уч!$A$2:$L$34,11,FALSE)</f>
        <v>#N/A</v>
      </c>
      <c r="D74" s="452"/>
      <c r="E74" s="509" t="s">
        <v>276</v>
      </c>
      <c r="F74" s="458" t="e">
        <f>F73</f>
        <v>#N/A</v>
      </c>
      <c r="G74" s="473" t="e">
        <f>F74+G73</f>
        <v>#N/A</v>
      </c>
      <c r="H74" s="473" t="e">
        <f>G74+H73</f>
        <v>#N/A</v>
      </c>
      <c r="I74" s="473" t="e">
        <f>H74+I73</f>
        <v>#N/A</v>
      </c>
      <c r="J74" s="479" t="e">
        <f>SUM($F73:J73)</f>
        <v>#N/A</v>
      </c>
      <c r="K74" s="473" t="e">
        <f>SUM($F73:$K73)</f>
        <v>#N/A</v>
      </c>
      <c r="L74" s="473" t="e">
        <f>K74+L73</f>
        <v>#N/A</v>
      </c>
      <c r="M74" s="473" t="e">
        <f>L74+M73</f>
        <v>#N/A</v>
      </c>
      <c r="N74" s="473" t="e">
        <f>SUM($F73:$N73)</f>
        <v>#N/A</v>
      </c>
      <c r="O74" s="473" t="e">
        <f>SUM($F73:$O73)</f>
        <v>#N/A</v>
      </c>
      <c r="P74" s="448"/>
      <c r="Q74" s="456"/>
      <c r="R74" s="372"/>
      <c r="S74" s="404">
        <f>B71</f>
        <v>66</v>
      </c>
      <c r="T74" s="287">
        <f>$A71</f>
        <v>25</v>
      </c>
      <c r="U74" s="287">
        <v>4</v>
      </c>
      <c r="V74" s="287">
        <f>$A71</f>
        <v>25</v>
      </c>
      <c r="W74" s="372" t="e">
        <f t="shared" ref="W74:AF74" si="11">F74</f>
        <v>#N/A</v>
      </c>
      <c r="X74" s="372" t="e">
        <f t="shared" si="11"/>
        <v>#N/A</v>
      </c>
      <c r="Y74" s="372" t="e">
        <f t="shared" si="11"/>
        <v>#N/A</v>
      </c>
      <c r="Z74" s="372" t="e">
        <f t="shared" si="11"/>
        <v>#N/A</v>
      </c>
      <c r="AA74" s="372" t="e">
        <f t="shared" si="11"/>
        <v>#N/A</v>
      </c>
      <c r="AB74" s="372" t="e">
        <f t="shared" si="11"/>
        <v>#N/A</v>
      </c>
      <c r="AC74" s="372" t="e">
        <f t="shared" si="11"/>
        <v>#N/A</v>
      </c>
      <c r="AD74" s="372" t="e">
        <f t="shared" si="11"/>
        <v>#N/A</v>
      </c>
      <c r="AE74" s="372" t="e">
        <f t="shared" si="11"/>
        <v>#N/A</v>
      </c>
      <c r="AF74" s="372" t="e">
        <f t="shared" si="11"/>
        <v>#N/A</v>
      </c>
      <c r="AH74" s="231"/>
      <c r="AI74" s="231"/>
      <c r="AJ74" s="404">
        <v>449</v>
      </c>
      <c r="AK74" s="231"/>
    </row>
    <row r="75" spans="1:50" s="280" customFormat="1" ht="13.2" customHeight="1" thickBot="1" x14ac:dyDescent="0.3">
      <c r="A75" s="514"/>
      <c r="B75" s="461"/>
      <c r="C75" s="462" t="e">
        <f>VLOOKUP(B71,Уч!$A$2:$L$34,12,FALSE)</f>
        <v>#N/A</v>
      </c>
      <c r="D75" s="463"/>
      <c r="E75" s="510" t="s">
        <v>59</v>
      </c>
      <c r="F75" s="464" t="e">
        <f>RANK(F74,$W$16:$W$80,0)</f>
        <v>#N/A</v>
      </c>
      <c r="G75" s="481" t="e">
        <f>RANK(G74,$X$16:$X$80,0)</f>
        <v>#N/A</v>
      </c>
      <c r="H75" s="481" t="e">
        <f>RANK(H74,$Y$16:$Y$80,0)</f>
        <v>#N/A</v>
      </c>
      <c r="I75" s="481" t="e">
        <f>RANK(I74,$Z$16:$Z$80,0)</f>
        <v>#N/A</v>
      </c>
      <c r="J75" s="482" t="e">
        <f>RANK(J74,$AA$16:$AA$80,0)</f>
        <v>#N/A</v>
      </c>
      <c r="K75" s="481" t="e">
        <f>RANK(K74,$AB$16:$AB$80,0)</f>
        <v>#N/A</v>
      </c>
      <c r="L75" s="481" t="e">
        <f>RANK(L74,$AC$16:$AC$80,0)</f>
        <v>#N/A</v>
      </c>
      <c r="M75" s="481" t="e">
        <f>RANK(M74,$AD$16:$AD$80,0)</f>
        <v>#N/A</v>
      </c>
      <c r="N75" s="481" t="e">
        <f>RANK(N74,$AE$16:$AE$80,0)</f>
        <v>#N/A</v>
      </c>
      <c r="O75" s="481" t="e">
        <f>RANK(O74,$AF$16:$AF$80,0)</f>
        <v>#N/A</v>
      </c>
      <c r="P75" s="466"/>
      <c r="Q75" s="442"/>
      <c r="R75" s="442"/>
      <c r="S75" s="205">
        <f>B71</f>
        <v>66</v>
      </c>
      <c r="T75" s="287">
        <f>$A71</f>
        <v>25</v>
      </c>
      <c r="U75" s="287">
        <v>5</v>
      </c>
      <c r="V75" s="287">
        <f>$A71</f>
        <v>25</v>
      </c>
      <c r="W75" s="449"/>
      <c r="X75" s="307"/>
      <c r="Y75" s="307"/>
      <c r="Z75" s="307"/>
      <c r="AA75" s="307"/>
      <c r="AB75" s="307"/>
      <c r="AC75" s="307"/>
      <c r="AD75" s="450"/>
      <c r="AE75" s="450"/>
      <c r="AF75" s="450"/>
      <c r="AH75" s="231"/>
      <c r="AI75" s="231"/>
      <c r="AJ75" s="404">
        <v>449</v>
      </c>
      <c r="AK75" s="231"/>
    </row>
    <row r="76" spans="1:50" s="280" customFormat="1" ht="13.2" customHeight="1" thickTop="1" x14ac:dyDescent="0.35">
      <c r="A76" s="469">
        <v>26</v>
      </c>
      <c r="B76" s="404">
        <v>21</v>
      </c>
      <c r="C76" s="443" t="str">
        <f>VLOOKUP(B76,Уч!$A$2:$L$34,2,FALSE)</f>
        <v>Гасленко Кирилл</v>
      </c>
      <c r="D76" s="444">
        <f>VLOOKUP(B76,Уч!$A$2:$L$34,3,FALSE)</f>
        <v>36317</v>
      </c>
      <c r="E76" s="509" t="s">
        <v>19</v>
      </c>
      <c r="F76" s="470">
        <f>VLOOKUP($B76,'100 м 1'!$C$18:$I$87,5,FALSE)</f>
        <v>12.07</v>
      </c>
      <c r="G76" s="471">
        <f>VLOOKUP($B76,'длина 2 '!$C$16:$O$54,11,FALSE)</f>
        <v>6.98</v>
      </c>
      <c r="H76" s="471">
        <f>VLOOKUP($B76,'ядро 2'!$C$16:$K$60,8,FALSE)</f>
        <v>12.02</v>
      </c>
      <c r="I76" s="471">
        <f>VLOOKUP($B76,'высота 2'!$C$16:$AF$57,29,FALSE)</f>
        <v>1.76</v>
      </c>
      <c r="J76" s="472" t="e">
        <f>VLOOKUP($B76,'4_р'!$C$17:$H$73,5,FALSE)</f>
        <v>#N/A</v>
      </c>
      <c r="K76" s="471">
        <f>VLOOKUP($B76,'1cб_р'!$C$17:$I$67,5,FALSE)</f>
        <v>0</v>
      </c>
      <c r="L76" s="471">
        <f>VLOOKUP($B76,Дс_р!$C$16:$K$70,8,FALSE)</f>
        <v>0</v>
      </c>
      <c r="M76" s="471">
        <f>VLOOKUP($B76,Ш_р!$C$15:$AF$69,29,FALSE)</f>
        <v>0</v>
      </c>
      <c r="N76" s="471">
        <f>VLOOKUP($B76,К_р!$C$15:$K$68,8,FALSE)</f>
        <v>0</v>
      </c>
      <c r="O76" s="473">
        <f>VLOOKUP($B76,'15_р'!$C$17:$H$86,5,FALSE)</f>
        <v>0</v>
      </c>
      <c r="P76" s="491" t="e">
        <f>SUM(F78:O78)</f>
        <v>#N/A</v>
      </c>
      <c r="Q76" s="469" t="e">
        <f>LOOKUP(P76,Y$1:AH$1,Y$2:AH$2)</f>
        <v>#N/A</v>
      </c>
      <c r="R76" s="404" t="e">
        <f>AH76+AI76+5</f>
        <v>#N/A</v>
      </c>
      <c r="S76" s="404">
        <f>B76</f>
        <v>21</v>
      </c>
      <c r="T76" s="287">
        <f>$A76</f>
        <v>26</v>
      </c>
      <c r="U76" s="287">
        <v>1</v>
      </c>
      <c r="V76" s="287" t="s">
        <v>162</v>
      </c>
      <c r="W76" s="449"/>
      <c r="X76" s="307"/>
      <c r="Y76" s="307"/>
      <c r="Z76" s="307"/>
      <c r="AA76" s="307"/>
      <c r="AB76" s="307"/>
      <c r="AC76" s="307"/>
      <c r="AD76" s="450"/>
      <c r="AE76" s="450"/>
      <c r="AF76" s="450"/>
      <c r="AH76" s="280" t="e">
        <f>IF(AND(T76&gt;16,P76&gt;=6200),"1",LOOKUP(T76,Y$5:AO$5,Y$6:AO$6))</f>
        <v>#N/A</v>
      </c>
      <c r="AI76" s="280" t="e">
        <f>LOOKUP(Q76,Y$8:AD$8,Y$9:AD$9)</f>
        <v>#N/A</v>
      </c>
      <c r="AJ76" s="404">
        <v>97</v>
      </c>
      <c r="AK76" s="231"/>
    </row>
    <row r="77" spans="1:50" s="280" customFormat="1" ht="13.2" customHeight="1" x14ac:dyDescent="0.35">
      <c r="A77" s="231"/>
      <c r="B77" s="404"/>
      <c r="C77" s="451" t="str">
        <f>VLOOKUP(B76,Уч!$A$2:$L$34,5,FALSE)</f>
        <v xml:space="preserve">Краснодарский край  </v>
      </c>
      <c r="D77" s="444">
        <f>VLOOKUP(B76,Уч!$A$2:$L$34,4,FALSE)</f>
        <v>1</v>
      </c>
      <c r="E77" s="509" t="s">
        <v>25</v>
      </c>
      <c r="F77" s="475">
        <f>VLOOKUP($B76,'100 м 1'!$C$18:$I$87,6,FALSE)</f>
        <v>2</v>
      </c>
      <c r="G77" s="476">
        <f>VLOOKUP($B76,'длина 2 '!$C$16:$O$54,12,FALSE)</f>
        <v>-0.6</v>
      </c>
      <c r="H77" s="473"/>
      <c r="I77" s="476"/>
      <c r="J77" s="477"/>
      <c r="K77" s="476">
        <f>VLOOKUP($B76,'1cб_р'!$C$17:$I$67,6,FALSE)</f>
        <v>0</v>
      </c>
      <c r="L77" s="476"/>
      <c r="M77" s="476"/>
      <c r="N77" s="473"/>
      <c r="O77" s="473"/>
      <c r="P77" s="448"/>
      <c r="Q77" s="456"/>
      <c r="R77" s="404" t="e">
        <f>CONCATENATE(AH76,"+",AI76,"+",5)</f>
        <v>#N/A</v>
      </c>
      <c r="S77" s="404">
        <f>B76</f>
        <v>21</v>
      </c>
      <c r="T77" s="287">
        <f>$A76</f>
        <v>26</v>
      </c>
      <c r="U77" s="287">
        <v>2</v>
      </c>
      <c r="V77" s="287" t="s">
        <v>162</v>
      </c>
      <c r="W77" s="449"/>
      <c r="X77" s="307"/>
      <c r="Y77" s="307"/>
      <c r="Z77" s="307"/>
      <c r="AA77" s="307"/>
      <c r="AB77" s="307"/>
      <c r="AC77" s="307"/>
      <c r="AD77" s="450"/>
      <c r="AE77" s="450"/>
      <c r="AF77" s="450"/>
      <c r="AH77" s="231"/>
      <c r="AI77" s="231"/>
      <c r="AJ77" s="404">
        <v>97</v>
      </c>
      <c r="AK77" s="231"/>
    </row>
    <row r="78" spans="1:50" s="280" customFormat="1" ht="13.2" customHeight="1" x14ac:dyDescent="0.35">
      <c r="A78" s="231"/>
      <c r="B78" s="404"/>
      <c r="C78" s="457" t="str">
        <f>VLOOKUP(B76,Уч!$A$2:$L$34,7,FALSE)</f>
        <v>ГБУ КК "ЦОП №1"</v>
      </c>
      <c r="D78" s="444"/>
      <c r="E78" s="509" t="s">
        <v>29</v>
      </c>
      <c r="F78" s="478">
        <f>VLOOKUP($B76,'100 м 1'!$C$18:$I$87,7,FALSE)</f>
        <v>637</v>
      </c>
      <c r="G78" s="473">
        <f>VLOOKUP($B76,'длина 2 '!$C$16:$O$54,13,FALSE)</f>
        <v>0</v>
      </c>
      <c r="H78" s="473">
        <f>VLOOKUP($B76,'ядро 2'!$C$16:$K$60,9,FALSE)</f>
        <v>608</v>
      </c>
      <c r="I78" s="473">
        <f>VLOOKUP($B76,'высота 2'!$C$16:$AF$57,30,)</f>
        <v>0</v>
      </c>
      <c r="J78" s="479" t="e">
        <f>VLOOKUP($B76,'4_р'!$C$17:$H$73,6,FALSE)</f>
        <v>#N/A</v>
      </c>
      <c r="K78" s="473">
        <f>VLOOKUP($B76,'1cб_р'!$C$17:$I$67,7,FALSE)</f>
        <v>0</v>
      </c>
      <c r="L78" s="473">
        <f>VLOOKUP($B76,Дс_р!$C$16:$K$70,9,FALSE)</f>
        <v>0</v>
      </c>
      <c r="M78" s="473">
        <f>VLOOKUP($B76,Ш_р!$C$15:$AF$69,30,FALSE)</f>
        <v>0</v>
      </c>
      <c r="N78" s="473">
        <f>VLOOKUP($B76,К_р!$C$15:$K$68,9,FALSE)</f>
        <v>0</v>
      </c>
      <c r="O78" s="473">
        <f>VLOOKUP($B76,'15_р'!$C$17:$H$86,6,FALSE)</f>
        <v>0</v>
      </c>
      <c r="P78" s="448"/>
      <c r="Q78" s="468"/>
      <c r="R78" s="372"/>
      <c r="S78" s="404">
        <f>B76</f>
        <v>21</v>
      </c>
      <c r="T78" s="287">
        <f>$A76</f>
        <v>26</v>
      </c>
      <c r="U78" s="287">
        <v>3</v>
      </c>
      <c r="V78" s="287" t="s">
        <v>162</v>
      </c>
      <c r="W78" s="449"/>
      <c r="X78" s="307"/>
      <c r="Y78" s="307"/>
      <c r="Z78" s="307"/>
      <c r="AA78" s="307"/>
      <c r="AB78" s="307"/>
      <c r="AC78" s="307"/>
      <c r="AD78" s="450"/>
      <c r="AE78" s="450"/>
      <c r="AF78" s="450"/>
      <c r="AH78" s="231"/>
      <c r="AI78" s="231"/>
      <c r="AJ78" s="404">
        <v>97</v>
      </c>
      <c r="AK78" s="231"/>
    </row>
    <row r="79" spans="1:50" s="280" customFormat="1" ht="13.2" customHeight="1" x14ac:dyDescent="0.35">
      <c r="A79" s="231"/>
      <c r="B79" s="404"/>
      <c r="C79" s="451" t="str">
        <f>VLOOKUP(B76,Уч!$A$2:$L$34,11,FALSE)</f>
        <v>Лияскин А.С., Смирнов В.Ф., Пугач С.В.</v>
      </c>
      <c r="D79" s="444"/>
      <c r="E79" s="509" t="s">
        <v>276</v>
      </c>
      <c r="F79" s="478">
        <f>F78</f>
        <v>637</v>
      </c>
      <c r="G79" s="473">
        <f>F79+G78</f>
        <v>637</v>
      </c>
      <c r="H79" s="473">
        <f>G79+H78</f>
        <v>1245</v>
      </c>
      <c r="I79" s="473">
        <f>H79+I78</f>
        <v>1245</v>
      </c>
      <c r="J79" s="479" t="e">
        <f>SUM($F78:J78)</f>
        <v>#N/A</v>
      </c>
      <c r="K79" s="473" t="e">
        <f>SUM($F78:$K78)</f>
        <v>#N/A</v>
      </c>
      <c r="L79" s="473" t="e">
        <f>K79+L78</f>
        <v>#N/A</v>
      </c>
      <c r="M79" s="473" t="e">
        <f>L79+M78</f>
        <v>#N/A</v>
      </c>
      <c r="N79" s="473" t="e">
        <f>SUM($F78:$N78)</f>
        <v>#N/A</v>
      </c>
      <c r="O79" s="473" t="e">
        <f>SUM($F78:$O78)</f>
        <v>#N/A</v>
      </c>
      <c r="P79" s="448"/>
      <c r="Q79" s="456"/>
      <c r="R79" s="372"/>
      <c r="S79" s="404">
        <f>B76</f>
        <v>21</v>
      </c>
      <c r="T79" s="287">
        <f>$A76</f>
        <v>26</v>
      </c>
      <c r="U79" s="287">
        <v>4</v>
      </c>
      <c r="V79" s="287" t="s">
        <v>162</v>
      </c>
      <c r="W79" s="372">
        <f t="shared" ref="W79:AF79" si="12">F79</f>
        <v>637</v>
      </c>
      <c r="X79" s="372">
        <f t="shared" si="12"/>
        <v>637</v>
      </c>
      <c r="Y79" s="372">
        <f t="shared" si="12"/>
        <v>1245</v>
      </c>
      <c r="Z79" s="372">
        <f t="shared" si="12"/>
        <v>1245</v>
      </c>
      <c r="AA79" s="372" t="e">
        <f t="shared" si="12"/>
        <v>#N/A</v>
      </c>
      <c r="AB79" s="372" t="e">
        <f t="shared" si="12"/>
        <v>#N/A</v>
      </c>
      <c r="AC79" s="372" t="e">
        <f t="shared" si="12"/>
        <v>#N/A</v>
      </c>
      <c r="AD79" s="372" t="e">
        <f t="shared" si="12"/>
        <v>#N/A</v>
      </c>
      <c r="AE79" s="372" t="e">
        <f t="shared" si="12"/>
        <v>#N/A</v>
      </c>
      <c r="AF79" s="372" t="e">
        <f t="shared" si="12"/>
        <v>#N/A</v>
      </c>
      <c r="AH79" s="231"/>
      <c r="AI79" s="231"/>
      <c r="AJ79" s="404">
        <v>97</v>
      </c>
      <c r="AK79" s="231"/>
    </row>
    <row r="80" spans="1:50" s="280" customFormat="1" ht="13.2" customHeight="1" thickBot="1" x14ac:dyDescent="0.3">
      <c r="A80" s="460"/>
      <c r="B80" s="461"/>
      <c r="C80" s="462">
        <f>VLOOKUP(B76,Уч!$A$2:$L$34,12,FALSE)</f>
        <v>0</v>
      </c>
      <c r="D80" s="467"/>
      <c r="E80" s="510" t="s">
        <v>59</v>
      </c>
      <c r="F80" s="480" t="e">
        <f>RANK(F79,$W$16:$W$80,0)</f>
        <v>#N/A</v>
      </c>
      <c r="G80" s="481" t="e">
        <f>RANK(G79,$X$16:$X$80,0)</f>
        <v>#N/A</v>
      </c>
      <c r="H80" s="481" t="e">
        <f>RANK(H79,$Y$16:$Y$80,0)</f>
        <v>#N/A</v>
      </c>
      <c r="I80" s="481" t="e">
        <f>RANK(I79,$Z$16:$Z$80,0)</f>
        <v>#N/A</v>
      </c>
      <c r="J80" s="482" t="e">
        <f>RANK(J79,$AA$16:$AA$80,0)</f>
        <v>#N/A</v>
      </c>
      <c r="K80" s="481" t="e">
        <f>RANK(K79,$AB$16:$AB$80,0)</f>
        <v>#N/A</v>
      </c>
      <c r="L80" s="481" t="e">
        <f>RANK(L79,$AC$16:$AC$80,0)</f>
        <v>#N/A</v>
      </c>
      <c r="M80" s="481" t="e">
        <f>RANK(M79,$AD$16:$AD$80,0)</f>
        <v>#N/A</v>
      </c>
      <c r="N80" s="481" t="e">
        <f>RANK(N79,$AE$16:$AE$80,0)</f>
        <v>#N/A</v>
      </c>
      <c r="O80" s="481" t="e">
        <f>RANK(O79,$AF$16:$AF$80,0)</f>
        <v>#N/A</v>
      </c>
      <c r="P80" s="466"/>
      <c r="Q80" s="442"/>
      <c r="R80" s="442"/>
      <c r="S80" s="205">
        <f>B76</f>
        <v>21</v>
      </c>
      <c r="T80" s="287">
        <f>$A76</f>
        <v>26</v>
      </c>
      <c r="U80" s="287">
        <v>5</v>
      </c>
      <c r="V80" s="287" t="s">
        <v>162</v>
      </c>
      <c r="W80" s="449"/>
      <c r="X80" s="307"/>
      <c r="Y80" s="307"/>
      <c r="Z80" s="307"/>
      <c r="AA80" s="307"/>
      <c r="AB80" s="307"/>
      <c r="AC80" s="307"/>
      <c r="AD80" s="450"/>
      <c r="AE80" s="450"/>
      <c r="AF80" s="450"/>
      <c r="AH80" s="231"/>
      <c r="AI80" s="231"/>
      <c r="AJ80" s="404">
        <v>97</v>
      </c>
      <c r="AK80" s="231"/>
    </row>
    <row r="81" spans="3:10" ht="13.2" customHeight="1" thickTop="1" x14ac:dyDescent="0.25"/>
    <row r="90" spans="3:10" ht="15.6" x14ac:dyDescent="0.25">
      <c r="C90" s="497" t="s">
        <v>87</v>
      </c>
      <c r="D90" s="498"/>
      <c r="E90" s="497"/>
      <c r="F90" s="499"/>
      <c r="G90" s="497"/>
      <c r="H90" s="497"/>
      <c r="I90" s="497"/>
      <c r="J90" s="498" t="s">
        <v>127</v>
      </c>
    </row>
    <row r="91" spans="3:10" x14ac:dyDescent="0.25">
      <c r="D91" s="41"/>
      <c r="G91" s="41"/>
      <c r="H91" s="41"/>
    </row>
    <row r="92" spans="3:10" ht="15.6" x14ac:dyDescent="0.25">
      <c r="C92" s="497"/>
      <c r="D92" s="498"/>
      <c r="E92" s="497"/>
      <c r="F92" s="499"/>
      <c r="G92" s="497"/>
      <c r="H92" s="497"/>
      <c r="I92" s="497"/>
      <c r="J92" s="499"/>
    </row>
    <row r="93" spans="3:10" ht="15.6" x14ac:dyDescent="0.25">
      <c r="C93" s="497" t="s">
        <v>88</v>
      </c>
      <c r="D93" s="498"/>
      <c r="E93" s="497"/>
      <c r="F93" s="499"/>
      <c r="G93" s="497"/>
      <c r="H93" s="497"/>
      <c r="I93" s="497"/>
      <c r="J93" s="498" t="s">
        <v>128</v>
      </c>
    </row>
  </sheetData>
  <sortState ref="A16:AX70">
    <sortCondition ref="T16:T70"/>
    <sortCondition ref="U16:U70"/>
  </sortState>
  <mergeCells count="7">
    <mergeCell ref="A8:B8"/>
    <mergeCell ref="A1:R1"/>
    <mergeCell ref="A2:R2"/>
    <mergeCell ref="A3:R3"/>
    <mergeCell ref="A4:R4"/>
    <mergeCell ref="A5:R5"/>
    <mergeCell ref="A6:R6"/>
  </mergeCells>
  <printOptions horizontalCentered="1"/>
  <pageMargins left="0.39370078740157483" right="0.39370078740157483" top="0.39370078740157483" bottom="0.39370078740157483" header="0.59055118110236227" footer="0.39370078740157483"/>
  <pageSetup paperSize="9" scale="72" orientation="portrait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X90"/>
  <sheetViews>
    <sheetView view="pageBreakPreview" topLeftCell="G1" zoomScale="80" zoomScaleNormal="85" zoomScaleSheetLayoutView="80" workbookViewId="0">
      <selection activeCell="M25" sqref="M25"/>
    </sheetView>
  </sheetViews>
  <sheetFormatPr defaultColWidth="9.109375" defaultRowHeight="13.2" outlineLevelCol="1" x14ac:dyDescent="0.25"/>
  <cols>
    <col min="1" max="1" width="4.5546875" style="41" customWidth="1"/>
    <col min="2" max="2" width="8" style="418" customWidth="1"/>
    <col min="3" max="3" width="21.77734375" style="41" customWidth="1"/>
    <col min="4" max="4" width="9.6640625" style="250" customWidth="1"/>
    <col min="5" max="5" width="7.33203125" style="41" customWidth="1"/>
    <col min="6" max="6" width="5.77734375" style="41" customWidth="1"/>
    <col min="7" max="7" width="5.6640625" style="418" customWidth="1"/>
    <col min="8" max="8" width="6.77734375" style="418" customWidth="1"/>
    <col min="9" max="9" width="6.6640625" style="41" customWidth="1"/>
    <col min="10" max="10" width="5.88671875" style="41" customWidth="1"/>
    <col min="11" max="11" width="7.5546875" style="418" customWidth="1" outlineLevel="1"/>
    <col min="12" max="12" width="6.109375" style="418" customWidth="1" outlineLevel="1"/>
    <col min="13" max="13" width="6.5546875" style="418" customWidth="1" outlineLevel="1"/>
    <col min="14" max="14" width="6" style="418" customWidth="1" outlineLevel="1"/>
    <col min="15" max="15" width="6.33203125" style="418" customWidth="1" outlineLevel="1"/>
    <col min="16" max="16" width="5.6640625" style="149" customWidth="1"/>
    <col min="17" max="17" width="5.77734375" style="149" customWidth="1"/>
    <col min="18" max="18" width="8.33203125" style="149" customWidth="1"/>
    <col min="19" max="19" width="5.109375" style="149" bestFit="1" customWidth="1"/>
    <col min="20" max="20" width="4.109375" style="149" customWidth="1"/>
    <col min="21" max="21" width="2" style="149" bestFit="1" customWidth="1"/>
    <col min="22" max="22" width="3.88671875" style="149" bestFit="1" customWidth="1"/>
    <col min="23" max="23" width="8" style="41" customWidth="1" outlineLevel="1"/>
    <col min="24" max="24" width="8.44140625" style="41" customWidth="1" outlineLevel="1"/>
    <col min="25" max="25" width="5.6640625" style="41" customWidth="1" outlineLevel="1"/>
    <col min="26" max="26" width="8" style="41" customWidth="1" outlineLevel="1"/>
    <col min="27" max="27" width="5.6640625" style="41" customWidth="1" outlineLevel="1"/>
    <col min="28" max="28" width="6" style="41" customWidth="1" outlineLevel="1"/>
    <col min="29" max="29" width="5" style="41" customWidth="1" outlineLevel="1"/>
    <col min="30" max="30" width="6" style="41" customWidth="1" outlineLevel="1"/>
    <col min="31" max="31" width="6.88671875" style="41" customWidth="1" outlineLevel="1"/>
    <col min="32" max="32" width="5.109375" style="41" customWidth="1" outlineLevel="1"/>
    <col min="33" max="33" width="5.109375" style="41" bestFit="1" customWidth="1"/>
    <col min="34" max="34" width="10.33203125" style="418" bestFit="1" customWidth="1"/>
    <col min="35" max="35" width="6.5546875" style="418" bestFit="1" customWidth="1"/>
    <col min="36" max="36" width="4.6640625" style="41" bestFit="1" customWidth="1"/>
    <col min="37" max="37" width="4.88671875" style="418" bestFit="1" customWidth="1"/>
    <col min="38" max="38" width="5.109375" style="41" bestFit="1" customWidth="1"/>
    <col min="39" max="41" width="3.109375" style="41" bestFit="1" customWidth="1"/>
    <col min="42" max="16384" width="9.109375" style="41"/>
  </cols>
  <sheetData>
    <row r="1" spans="1:50" ht="13.2" customHeight="1" x14ac:dyDescent="0.25">
      <c r="A1" s="803" t="str">
        <f>Расп!$A$21</f>
        <v>МИНИСТЕРСТВО СПОРТА РОССИЙСКОЙ ФЕДЕРАЦИИ</v>
      </c>
      <c r="B1" s="803"/>
      <c r="C1" s="803"/>
      <c r="D1" s="803"/>
      <c r="E1" s="803"/>
      <c r="F1" s="803"/>
      <c r="G1" s="803"/>
      <c r="H1" s="803"/>
      <c r="I1" s="803"/>
      <c r="J1" s="803"/>
      <c r="K1" s="803"/>
      <c r="L1" s="803"/>
      <c r="M1" s="803"/>
      <c r="N1" s="803"/>
      <c r="O1" s="803"/>
      <c r="P1" s="803"/>
      <c r="Q1" s="803"/>
      <c r="R1" s="803"/>
      <c r="W1" s="145"/>
      <c r="X1" s="250" t="s">
        <v>29</v>
      </c>
      <c r="Y1" s="419">
        <v>0</v>
      </c>
      <c r="Z1" s="419"/>
      <c r="AA1" s="419"/>
      <c r="AB1" s="419"/>
      <c r="AC1" s="320">
        <v>3800</v>
      </c>
      <c r="AD1" s="320">
        <v>4600</v>
      </c>
      <c r="AE1" s="420">
        <v>5400</v>
      </c>
      <c r="AF1" s="420">
        <v>6200</v>
      </c>
      <c r="AG1" s="320">
        <v>7100</v>
      </c>
      <c r="AH1" s="320">
        <v>8150</v>
      </c>
      <c r="AI1" s="206"/>
      <c r="AJ1" s="421" t="s">
        <v>129</v>
      </c>
      <c r="AK1" s="422" t="s">
        <v>136</v>
      </c>
      <c r="AL1" s="421">
        <v>5500</v>
      </c>
      <c r="AM1" s="206"/>
      <c r="AN1" s="206"/>
    </row>
    <row r="2" spans="1:50" ht="13.2" customHeight="1" x14ac:dyDescent="0.25">
      <c r="A2" s="803" t="str">
        <f>Расп!$A$22</f>
        <v>ВСЕРОССИЙСКАЯ ФЕДЕРАЦИЯ ЛЕГКОЙ АТЛЕТИКИ</v>
      </c>
      <c r="B2" s="803"/>
      <c r="C2" s="803"/>
      <c r="D2" s="803"/>
      <c r="E2" s="803"/>
      <c r="F2" s="803"/>
      <c r="G2" s="803"/>
      <c r="H2" s="803"/>
      <c r="I2" s="803"/>
      <c r="J2" s="803"/>
      <c r="K2" s="803"/>
      <c r="L2" s="803"/>
      <c r="M2" s="803"/>
      <c r="N2" s="803"/>
      <c r="O2" s="803"/>
      <c r="P2" s="803"/>
      <c r="Q2" s="803"/>
      <c r="R2" s="803"/>
      <c r="W2" s="145"/>
      <c r="X2" s="250" t="s">
        <v>1</v>
      </c>
      <c r="Y2" s="423" t="s">
        <v>66</v>
      </c>
      <c r="Z2" s="206" t="s">
        <v>130</v>
      </c>
      <c r="AA2" s="206" t="s">
        <v>131</v>
      </c>
      <c r="AB2" s="206" t="s">
        <v>132</v>
      </c>
      <c r="AC2" s="424">
        <v>3</v>
      </c>
      <c r="AD2" s="419">
        <v>2</v>
      </c>
      <c r="AE2" s="419">
        <v>1</v>
      </c>
      <c r="AF2" s="425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0" ht="13.2" customHeight="1" x14ac:dyDescent="0.25">
      <c r="A3" s="803" t="str">
        <f>Расп!$A$25</f>
        <v>Командный чемпионат России</v>
      </c>
      <c r="B3" s="803"/>
      <c r="C3" s="803"/>
      <c r="D3" s="803"/>
      <c r="E3" s="803"/>
      <c r="F3" s="803"/>
      <c r="G3" s="803"/>
      <c r="H3" s="803"/>
      <c r="I3" s="803"/>
      <c r="J3" s="803"/>
      <c r="K3" s="803"/>
      <c r="L3" s="803"/>
      <c r="M3" s="803"/>
      <c r="N3" s="803"/>
      <c r="O3" s="803"/>
      <c r="P3" s="803"/>
      <c r="Q3" s="803"/>
      <c r="R3" s="803"/>
      <c r="W3" s="145"/>
      <c r="X3" s="250"/>
      <c r="Y3" s="206"/>
      <c r="Z3" s="206"/>
      <c r="AA3" s="206"/>
      <c r="AB3" s="206"/>
      <c r="AD3" s="206"/>
      <c r="AE3" s="206"/>
      <c r="AF3" s="426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0" ht="13.2" customHeight="1" x14ac:dyDescent="0.25">
      <c r="A4" s="803" t="str">
        <f>Расп!$A$27</f>
        <v>по многоборью</v>
      </c>
      <c r="B4" s="803"/>
      <c r="C4" s="803"/>
      <c r="D4" s="803"/>
      <c r="E4" s="803"/>
      <c r="F4" s="803"/>
      <c r="G4" s="803"/>
      <c r="H4" s="803"/>
      <c r="I4" s="803"/>
      <c r="J4" s="803"/>
      <c r="K4" s="803"/>
      <c r="L4" s="803"/>
      <c r="M4" s="803"/>
      <c r="N4" s="803"/>
      <c r="O4" s="803"/>
      <c r="P4" s="803"/>
      <c r="Q4" s="803"/>
      <c r="R4" s="80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0" ht="13.2" customHeight="1" x14ac:dyDescent="0.3">
      <c r="A5" s="804" t="s">
        <v>263</v>
      </c>
      <c r="B5" s="804"/>
      <c r="C5" s="804"/>
      <c r="D5" s="804"/>
      <c r="E5" s="804"/>
      <c r="F5" s="804"/>
      <c r="G5" s="804"/>
      <c r="H5" s="804"/>
      <c r="I5" s="804"/>
      <c r="J5" s="804"/>
      <c r="K5" s="804"/>
      <c r="L5" s="804"/>
      <c r="M5" s="804"/>
      <c r="N5" s="804"/>
      <c r="O5" s="804"/>
      <c r="P5" s="804"/>
      <c r="Q5" s="804"/>
      <c r="R5" s="80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0" ht="13.2" customHeight="1" x14ac:dyDescent="0.25">
      <c r="A6" s="801" t="s">
        <v>118</v>
      </c>
      <c r="B6" s="801"/>
      <c r="C6" s="801"/>
      <c r="D6" s="801"/>
      <c r="E6" s="801"/>
      <c r="F6" s="801"/>
      <c r="G6" s="801"/>
      <c r="H6" s="801"/>
      <c r="I6" s="801"/>
      <c r="J6" s="801"/>
      <c r="K6" s="801"/>
      <c r="L6" s="801"/>
      <c r="M6" s="801"/>
      <c r="N6" s="801"/>
      <c r="O6" s="801"/>
      <c r="P6" s="801"/>
      <c r="Q6" s="801"/>
      <c r="R6" s="80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0" ht="13.2" customHeight="1" x14ac:dyDescent="0.25">
      <c r="C7" s="418"/>
      <c r="E7" s="147"/>
      <c r="G7" s="41"/>
      <c r="H7" s="206"/>
      <c r="I7" s="427"/>
      <c r="K7" s="503" t="str">
        <f>Расп!$A$1</f>
        <v>04.09.2019 г.</v>
      </c>
      <c r="L7" s="504" t="s">
        <v>267</v>
      </c>
      <c r="M7" s="504"/>
      <c r="N7" s="500"/>
      <c r="O7" s="501"/>
      <c r="P7" s="501"/>
      <c r="Q7" s="503" t="str">
        <f>Расп!$A$7</f>
        <v>19.05.2019 г.</v>
      </c>
      <c r="R7" s="504" t="s">
        <v>267</v>
      </c>
      <c r="S7" s="418"/>
      <c r="T7" s="418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0" ht="13.2" customHeight="1" x14ac:dyDescent="0.25">
      <c r="A8" s="515" t="s">
        <v>117</v>
      </c>
      <c r="B8" s="515"/>
      <c r="C8" s="505"/>
      <c r="E8" s="147"/>
      <c r="G8" s="41"/>
      <c r="H8" s="206"/>
      <c r="I8" s="427"/>
      <c r="J8" s="147"/>
      <c r="K8" s="206" t="str">
        <f>Расп!A2</f>
        <v>бег 100 м</v>
      </c>
      <c r="L8" s="520">
        <f>Расп!B2</f>
        <v>0.39583333333333331</v>
      </c>
      <c r="M8" s="502"/>
      <c r="N8" s="500"/>
      <c r="O8" s="501"/>
      <c r="P8" s="501"/>
      <c r="Q8" s="500" t="str">
        <f>Расп!A8</f>
        <v>бег с барьерами 110 м (1,067 м)</v>
      </c>
      <c r="R8" s="502">
        <f>Расп!B8</f>
        <v>0.41666666666666669</v>
      </c>
      <c r="S8" s="418"/>
      <c r="T8" s="418"/>
      <c r="W8" s="152" t="s">
        <v>22</v>
      </c>
      <c r="X8" s="250" t="s">
        <v>76</v>
      </c>
      <c r="Y8" s="428">
        <v>1</v>
      </c>
      <c r="Z8" s="428">
        <v>2</v>
      </c>
      <c r="AA8" s="206">
        <v>3</v>
      </c>
      <c r="AB8" s="428" t="s">
        <v>61</v>
      </c>
      <c r="AC8" s="428" t="s">
        <v>60</v>
      </c>
      <c r="AD8" s="428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0" ht="13.2" customHeight="1" x14ac:dyDescent="0.25">
      <c r="A9" s="206" t="str">
        <f>Расп!$A$14</f>
        <v>РМ</v>
      </c>
      <c r="B9" s="418">
        <v>8617</v>
      </c>
      <c r="C9" s="418"/>
      <c r="G9" s="41"/>
      <c r="H9" s="206"/>
      <c r="I9" s="427"/>
      <c r="K9" s="206" t="str">
        <f>Расп!A3</f>
        <v>прыжок в длину</v>
      </c>
      <c r="L9" s="520">
        <f>Расп!B3</f>
        <v>0.42708333333333331</v>
      </c>
      <c r="M9" s="502"/>
      <c r="N9" s="500"/>
      <c r="O9" s="501"/>
      <c r="P9" s="501"/>
      <c r="Q9" s="500" t="str">
        <f>Расп!A9</f>
        <v>метание диска (2,0 кг)</v>
      </c>
      <c r="R9" s="502">
        <f>Расп!B9</f>
        <v>0.4513888888888889</v>
      </c>
      <c r="S9" s="418"/>
      <c r="T9" s="418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0" ht="13.2" customHeight="1" x14ac:dyDescent="0.3">
      <c r="A10" s="206" t="str">
        <f>Расп!$A$15</f>
        <v>РЕ</v>
      </c>
      <c r="B10" s="418">
        <v>8617</v>
      </c>
      <c r="C10" s="418"/>
      <c r="G10" s="41"/>
      <c r="H10" s="206"/>
      <c r="I10" s="427"/>
      <c r="K10" s="206" t="str">
        <f>Расп!A4</f>
        <v>толкание ядра (7,26 кг)</v>
      </c>
      <c r="L10" s="520">
        <f>Расп!B4</f>
        <v>0.46875</v>
      </c>
      <c r="M10" s="502"/>
      <c r="N10" s="501"/>
      <c r="O10" s="257"/>
      <c r="P10" s="204"/>
      <c r="Q10" s="500" t="str">
        <f>Расп!A10</f>
        <v>прыжок с шестом</v>
      </c>
      <c r="R10" s="502">
        <f>Расп!B10</f>
        <v>0.52777777777777779</v>
      </c>
      <c r="W10" s="152" t="s">
        <v>24</v>
      </c>
      <c r="X10" s="320"/>
      <c r="Y10" s="320"/>
      <c r="Z10" s="320"/>
      <c r="AA10" s="320"/>
      <c r="AB10" s="320"/>
      <c r="AC10" s="320"/>
      <c r="AD10" s="430"/>
      <c r="AE10" s="430"/>
      <c r="AF10" s="430"/>
      <c r="AH10" s="320"/>
      <c r="AI10" s="431"/>
      <c r="AJ10" s="320"/>
      <c r="AK10" s="320"/>
      <c r="AL10" s="320"/>
      <c r="AM10" s="320"/>
      <c r="AN10" s="430"/>
      <c r="AR10" s="418"/>
      <c r="AS10" s="250"/>
      <c r="AT10" s="206"/>
      <c r="AU10" s="206"/>
      <c r="AV10" s="206"/>
      <c r="AW10" s="206"/>
      <c r="AX10" s="206"/>
    </row>
    <row r="11" spans="1:50" ht="13.2" customHeight="1" x14ac:dyDescent="0.3">
      <c r="A11" s="206" t="str">
        <f>Расп!$A$16</f>
        <v>РР</v>
      </c>
      <c r="B11" s="418">
        <v>8365</v>
      </c>
      <c r="C11" s="418"/>
      <c r="G11" s="41"/>
      <c r="H11" s="206"/>
      <c r="I11" s="427"/>
      <c r="K11" s="206" t="str">
        <f>Расп!A5</f>
        <v>прыжок в высоту</v>
      </c>
      <c r="L11" s="520">
        <f>Расп!B5</f>
        <v>0.625</v>
      </c>
      <c r="M11" s="502"/>
      <c r="N11" s="501"/>
      <c r="O11" s="257"/>
      <c r="P11" s="204"/>
      <c r="Q11" s="500" t="str">
        <f>Расп!A11</f>
        <v>метание копья (800 г)</v>
      </c>
      <c r="R11" s="502">
        <f>Расп!B11</f>
        <v>0.625</v>
      </c>
      <c r="W11" s="152"/>
      <c r="X11" s="432" t="s">
        <v>133</v>
      </c>
      <c r="Y11" s="433">
        <v>5</v>
      </c>
      <c r="Z11" s="320"/>
      <c r="AA11" s="320"/>
      <c r="AB11" s="320"/>
      <c r="AC11" s="320"/>
      <c r="AD11" s="430"/>
      <c r="AE11" s="430"/>
      <c r="AF11" s="430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0" ht="13.2" customHeight="1" x14ac:dyDescent="0.3">
      <c r="A12" s="41" t="str">
        <f>Расп!$A$26</f>
        <v>г.Сочи, Адлерский район, стадион "Юность"</v>
      </c>
      <c r="C12" s="153"/>
      <c r="K12" s="206" t="str">
        <f>Расп!A6</f>
        <v>бег 400 м</v>
      </c>
      <c r="L12" s="520">
        <f>Расп!B6</f>
        <v>0.72916666666666663</v>
      </c>
      <c r="M12" s="502"/>
      <c r="N12" s="501"/>
      <c r="O12" s="501"/>
      <c r="P12" s="204"/>
      <c r="Q12" s="500" t="str">
        <f>Расп!A12</f>
        <v>бег 1500 м</v>
      </c>
      <c r="R12" s="502">
        <f>Расп!B12</f>
        <v>0.76388888888888884</v>
      </c>
      <c r="W12" s="434"/>
      <c r="X12" s="320"/>
      <c r="Y12" s="320"/>
      <c r="Z12" s="320"/>
      <c r="AA12" s="320"/>
      <c r="AB12" s="320"/>
      <c r="AC12" s="320"/>
      <c r="AD12" s="430"/>
      <c r="AE12" s="430"/>
      <c r="AF12" s="430"/>
      <c r="AH12" s="41"/>
      <c r="AI12" s="41"/>
      <c r="AK12" s="41"/>
    </row>
    <row r="13" spans="1:50" s="158" customFormat="1" ht="30.6" customHeight="1" x14ac:dyDescent="0.2">
      <c r="A13" s="506" t="s">
        <v>59</v>
      </c>
      <c r="B13" s="506" t="s">
        <v>272</v>
      </c>
      <c r="C13" s="506" t="s">
        <v>273</v>
      </c>
      <c r="D13" s="506" t="s">
        <v>274</v>
      </c>
      <c r="E13" s="435"/>
      <c r="F13" s="506" t="s">
        <v>277</v>
      </c>
      <c r="G13" s="506" t="s">
        <v>248</v>
      </c>
      <c r="H13" s="506" t="s">
        <v>269</v>
      </c>
      <c r="I13" s="506" t="s">
        <v>249</v>
      </c>
      <c r="J13" s="506" t="s">
        <v>278</v>
      </c>
      <c r="K13" s="506" t="s">
        <v>268</v>
      </c>
      <c r="L13" s="506" t="s">
        <v>270</v>
      </c>
      <c r="M13" s="506" t="s">
        <v>251</v>
      </c>
      <c r="N13" s="506" t="s">
        <v>271</v>
      </c>
      <c r="O13" s="506" t="s">
        <v>279</v>
      </c>
      <c r="P13" s="507" t="s">
        <v>29</v>
      </c>
      <c r="Q13" s="507" t="s">
        <v>1</v>
      </c>
      <c r="R13" s="508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436" t="s">
        <v>70</v>
      </c>
      <c r="AE13" s="436" t="s">
        <v>18</v>
      </c>
      <c r="AF13" s="436">
        <v>1500</v>
      </c>
      <c r="AH13" s="437" t="s">
        <v>134</v>
      </c>
      <c r="AI13" s="437" t="s">
        <v>135</v>
      </c>
      <c r="AJ13" s="158" t="s">
        <v>137</v>
      </c>
    </row>
    <row r="14" spans="1:50" s="417" customFormat="1" ht="13.2" customHeight="1" x14ac:dyDescent="0.25">
      <c r="D14" s="429"/>
      <c r="P14" s="157"/>
      <c r="Q14" s="157"/>
      <c r="R14" s="157"/>
      <c r="S14" s="157"/>
      <c r="T14" s="157"/>
      <c r="U14" s="157"/>
      <c r="V14" s="157"/>
      <c r="W14" s="438"/>
      <c r="X14" s="399"/>
      <c r="Y14" s="399"/>
      <c r="Z14" s="399"/>
      <c r="AA14" s="399"/>
      <c r="AB14" s="399"/>
      <c r="AC14" s="399"/>
      <c r="AD14" s="439"/>
      <c r="AE14" s="439"/>
      <c r="AF14" s="439"/>
    </row>
    <row r="15" spans="1:50" s="417" customFormat="1" ht="13.2" customHeight="1" thickBot="1" x14ac:dyDescent="0.3">
      <c r="A15" s="440"/>
      <c r="B15" s="440"/>
      <c r="C15" s="440"/>
      <c r="D15" s="441"/>
      <c r="E15" s="440"/>
      <c r="F15" s="440"/>
      <c r="G15" s="440"/>
      <c r="H15" s="440"/>
      <c r="I15" s="440"/>
      <c r="J15" s="440"/>
      <c r="K15" s="440"/>
      <c r="L15" s="440"/>
      <c r="M15" s="440"/>
      <c r="N15" s="440"/>
      <c r="O15" s="440"/>
      <c r="P15" s="442"/>
      <c r="Q15" s="442"/>
      <c r="R15" s="442"/>
      <c r="S15" s="157"/>
      <c r="T15" s="157"/>
      <c r="U15" s="157"/>
      <c r="V15" s="157"/>
      <c r="W15" s="152"/>
      <c r="X15" s="399"/>
      <c r="Y15" s="399"/>
      <c r="Z15" s="399"/>
      <c r="AA15" s="399"/>
      <c r="AB15" s="399"/>
      <c r="AC15" s="399"/>
      <c r="AD15" s="439"/>
      <c r="AE15" s="439"/>
      <c r="AF15" s="439"/>
    </row>
    <row r="16" spans="1:50" s="287" customFormat="1" ht="13.2" customHeight="1" thickTop="1" x14ac:dyDescent="0.35">
      <c r="A16" s="231" t="e">
        <f>RANK(P16,$P$16:$P$85,0)</f>
        <v>#N/A</v>
      </c>
      <c r="B16" s="404">
        <v>53</v>
      </c>
      <c r="C16" s="443" t="e">
        <f>VLOOKUP(B16,Уч!$A$2:$L$34,2,FALSE)</f>
        <v>#N/A</v>
      </c>
      <c r="D16" s="444" t="e">
        <f>VLOOKUP(B16,Уч!$A$2:$L$34,3,FALSE)</f>
        <v>#N/A</v>
      </c>
      <c r="E16" s="509" t="s">
        <v>19</v>
      </c>
      <c r="F16" s="445">
        <f>VLOOKUP($B16,'100 м 1'!$C$18:$I$87,5,FALSE)</f>
        <v>10.91</v>
      </c>
      <c r="G16" s="446" t="e">
        <f>VLOOKUP($B16,'длина 2 '!$C$16:$O$54,11,FALSE)</f>
        <v>#N/A</v>
      </c>
      <c r="H16" s="446" t="e">
        <f>VLOOKUP($B16,'ядро 2'!$C$16:$K$60,8,FALSE)</f>
        <v>#N/A</v>
      </c>
      <c r="I16" s="446" t="e">
        <f>VLOOKUP($B16,'высота 2'!$C$16:$AF$57,29,FALSE)</f>
        <v>#N/A</v>
      </c>
      <c r="J16" s="447" t="e">
        <f>VLOOKUP($B16,'4_р'!$C$17:$H$73,5,FALSE)</f>
        <v>#N/A</v>
      </c>
      <c r="K16" s="446" t="e">
        <f>VLOOKUP($B16,'1cб_р'!$C$17:$I$67,5,FALSE)</f>
        <v>#N/A</v>
      </c>
      <c r="L16" s="446" t="e">
        <f>VLOOKUP($B16,Дс_р!$C$16:$K$70,8,FALSE)</f>
        <v>#N/A</v>
      </c>
      <c r="M16" s="446" t="e">
        <f>VLOOKUP($B16,Ш_р!$C$15:$AF$69,29,FALSE)</f>
        <v>#N/A</v>
      </c>
      <c r="N16" s="446" t="e">
        <f>VLOOKUP($B16,К_р!$C$15:$K$68,8,FALSE)</f>
        <v>#N/A</v>
      </c>
      <c r="O16" s="404" t="e">
        <f>VLOOKUP($B16,'15_р'!$C$17:$H$86,5,FALSE)</f>
        <v>#N/A</v>
      </c>
      <c r="P16" s="448" t="e">
        <f>SUM(F18:O18)</f>
        <v>#N/A</v>
      </c>
      <c r="Q16" s="231" t="e">
        <f>LOOKUP(P16,Y$1:AH$1,Y$2:AH$2)</f>
        <v>#N/A</v>
      </c>
      <c r="R16" s="404" t="e">
        <f>AH16+AI16+5</f>
        <v>#N/A</v>
      </c>
      <c r="S16" s="404">
        <f>B16</f>
        <v>53</v>
      </c>
      <c r="T16" s="287" t="e">
        <f>$A16</f>
        <v>#N/A</v>
      </c>
      <c r="U16" s="287">
        <v>1</v>
      </c>
      <c r="V16" s="287" t="e">
        <f>$A16</f>
        <v>#N/A</v>
      </c>
      <c r="W16" s="449"/>
      <c r="X16" s="307"/>
      <c r="Y16" s="307"/>
      <c r="Z16" s="307"/>
      <c r="AA16" s="307"/>
      <c r="AB16" s="307"/>
      <c r="AC16" s="307"/>
      <c r="AD16" s="450"/>
      <c r="AE16" s="450"/>
      <c r="AF16" s="450"/>
      <c r="AG16" s="280"/>
      <c r="AH16" s="280" t="e">
        <f>IF(AND(T16&gt;16,P16&gt;=5500),"1",LOOKUP(T16,Y$5:AO$5,Y$6:AO$6))</f>
        <v>#N/A</v>
      </c>
      <c r="AI16" s="280" t="e">
        <f>LOOKUP(Q16,Y$8:AD$8,Y$9:AD$9)</f>
        <v>#N/A</v>
      </c>
      <c r="AJ16" s="404">
        <v>162</v>
      </c>
      <c r="AK16" s="231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  <c r="AX16" s="280"/>
    </row>
    <row r="17" spans="1:50" s="287" customFormat="1" ht="13.2" customHeight="1" x14ac:dyDescent="0.35">
      <c r="A17" s="231"/>
      <c r="B17" s="404"/>
      <c r="C17" s="451" t="e">
        <f>VLOOKUP(B16,Уч!$A$2:$L$34,5,FALSE)</f>
        <v>#N/A</v>
      </c>
      <c r="D17" s="444" t="e">
        <f>VLOOKUP(B16,Уч!$A$2:$L$34,4,FALSE)</f>
        <v>#N/A</v>
      </c>
      <c r="E17" s="509" t="s">
        <v>25</v>
      </c>
      <c r="F17" s="453">
        <f>VLOOKUP($B16,'100 м 1'!$C$18:$I$87,6,FALSE)</f>
        <v>1</v>
      </c>
      <c r="G17" s="454" t="e">
        <f>VLOOKUP($B16,'длина 2 '!$C$16:$O$54,12,FALSE)</f>
        <v>#N/A</v>
      </c>
      <c r="H17" s="404"/>
      <c r="I17" s="454"/>
      <c r="J17" s="455"/>
      <c r="K17" s="454" t="e">
        <f>VLOOKUP($B16,'1cб_р'!$C$17:$I$67,6,FALSE)</f>
        <v>#N/A</v>
      </c>
      <c r="L17" s="454"/>
      <c r="M17" s="454"/>
      <c r="N17" s="404"/>
      <c r="O17" s="404"/>
      <c r="P17" s="448"/>
      <c r="Q17" s="456"/>
      <c r="R17" s="404" t="e">
        <f>CONCATENATE(AH16,"+",AI16,"+",5)</f>
        <v>#N/A</v>
      </c>
      <c r="S17" s="404">
        <f>B16</f>
        <v>53</v>
      </c>
      <c r="T17" s="287" t="e">
        <f>$A16</f>
        <v>#N/A</v>
      </c>
      <c r="U17" s="287">
        <v>2</v>
      </c>
      <c r="V17" s="287" t="e">
        <f>$A16</f>
        <v>#N/A</v>
      </c>
      <c r="W17" s="449"/>
      <c r="X17" s="307"/>
      <c r="Y17" s="307"/>
      <c r="Z17" s="307"/>
      <c r="AA17" s="307"/>
      <c r="AB17" s="307"/>
      <c r="AC17" s="307"/>
      <c r="AD17" s="450"/>
      <c r="AE17" s="450"/>
      <c r="AF17" s="450"/>
      <c r="AG17" s="280"/>
      <c r="AH17" s="231"/>
      <c r="AI17" s="231"/>
      <c r="AJ17" s="404">
        <v>162</v>
      </c>
      <c r="AK17" s="231"/>
      <c r="AL17" s="280"/>
      <c r="AM17" s="280"/>
      <c r="AN17" s="280"/>
      <c r="AO17" s="280"/>
      <c r="AP17" s="280"/>
      <c r="AQ17" s="280"/>
      <c r="AR17" s="280"/>
      <c r="AS17" s="280"/>
      <c r="AT17" s="280"/>
      <c r="AU17" s="280"/>
      <c r="AV17" s="280"/>
      <c r="AW17" s="280"/>
      <c r="AX17" s="280"/>
    </row>
    <row r="18" spans="1:50" s="287" customFormat="1" ht="13.2" customHeight="1" x14ac:dyDescent="0.35">
      <c r="A18" s="231"/>
      <c r="B18" s="404"/>
      <c r="C18" s="457" t="e">
        <f>VLOOKUP(B16,Уч!$A$2:$L$34,7,FALSE)</f>
        <v>#N/A</v>
      </c>
      <c r="D18" s="444"/>
      <c r="E18" s="509" t="s">
        <v>29</v>
      </c>
      <c r="F18" s="458">
        <f>VLOOKUP($B16,'100 м 1'!$C$18:$I$87,7,FALSE)</f>
        <v>881</v>
      </c>
      <c r="G18" s="404" t="e">
        <f>VLOOKUP($B16,'длина 2 '!$C$16:$O$54,13,FALSE)</f>
        <v>#N/A</v>
      </c>
      <c r="H18" s="404" t="e">
        <f>VLOOKUP($B16,'ядро 2'!$C$16:$K$60,9,FALSE)</f>
        <v>#N/A</v>
      </c>
      <c r="I18" s="404" t="e">
        <f>VLOOKUP($B16,'высота 2'!$C$16:$AF$57,30,)</f>
        <v>#N/A</v>
      </c>
      <c r="J18" s="459" t="e">
        <f>VLOOKUP($B16,'4_р'!$C$17:$H$73,6,FALSE)</f>
        <v>#N/A</v>
      </c>
      <c r="K18" s="404" t="e">
        <f>VLOOKUP($B16,'1cб_р'!$C$17:$I$67,7,FALSE)</f>
        <v>#N/A</v>
      </c>
      <c r="L18" s="404" t="e">
        <f>VLOOKUP($B16,Дс_р!$C$16:$K$70,9,FALSE)</f>
        <v>#N/A</v>
      </c>
      <c r="M18" s="404" t="e">
        <f>VLOOKUP($B16,Ш_р!$C$15:$AF$69,30,FALSE)</f>
        <v>#N/A</v>
      </c>
      <c r="N18" s="404" t="e">
        <f>VLOOKUP($B16,К_р!$C$15:$K$68,9,FALSE)</f>
        <v>#N/A</v>
      </c>
      <c r="O18" s="404" t="e">
        <f>VLOOKUP($B16,'15_р'!$C$17:$H$86,6,FALSE)</f>
        <v>#N/A</v>
      </c>
      <c r="P18" s="448"/>
      <c r="Q18" s="372"/>
      <c r="R18" s="372"/>
      <c r="S18" s="404">
        <f>B16</f>
        <v>53</v>
      </c>
      <c r="T18" s="287" t="e">
        <f>$A16</f>
        <v>#N/A</v>
      </c>
      <c r="U18" s="287">
        <v>3</v>
      </c>
      <c r="V18" s="287" t="e">
        <f>$A16</f>
        <v>#N/A</v>
      </c>
      <c r="W18" s="449"/>
      <c r="X18" s="307"/>
      <c r="Y18" s="307"/>
      <c r="Z18" s="307"/>
      <c r="AA18" s="307"/>
      <c r="AB18" s="307"/>
      <c r="AC18" s="307"/>
      <c r="AD18" s="450"/>
      <c r="AE18" s="450"/>
      <c r="AF18" s="450"/>
      <c r="AG18" s="280"/>
      <c r="AH18" s="231"/>
      <c r="AI18" s="231"/>
      <c r="AJ18" s="404">
        <v>162</v>
      </c>
      <c r="AK18" s="231"/>
      <c r="AL18" s="280"/>
      <c r="AM18" s="280"/>
      <c r="AN18" s="280"/>
      <c r="AO18" s="280"/>
      <c r="AP18" s="280"/>
      <c r="AQ18" s="280"/>
      <c r="AR18" s="280"/>
      <c r="AS18" s="280"/>
      <c r="AT18" s="280"/>
      <c r="AU18" s="280"/>
      <c r="AV18" s="280"/>
      <c r="AW18" s="280"/>
      <c r="AX18" s="280"/>
    </row>
    <row r="19" spans="1:50" s="287" customFormat="1" ht="13.2" customHeight="1" x14ac:dyDescent="0.35">
      <c r="A19" s="231"/>
      <c r="B19" s="404"/>
      <c r="C19" s="451" t="e">
        <f>VLOOKUP(B16,Уч!$A$2:$L$34,11,FALSE)</f>
        <v>#N/A</v>
      </c>
      <c r="D19" s="444"/>
      <c r="E19" s="509" t="s">
        <v>276</v>
      </c>
      <c r="F19" s="458">
        <f>F18</f>
        <v>881</v>
      </c>
      <c r="G19" s="404" t="e">
        <f>F19+G18</f>
        <v>#N/A</v>
      </c>
      <c r="H19" s="404" t="e">
        <f>G19+H18</f>
        <v>#N/A</v>
      </c>
      <c r="I19" s="404" t="e">
        <f>H19+I18</f>
        <v>#N/A</v>
      </c>
      <c r="J19" s="459" t="e">
        <f>SUM($F18:J18)</f>
        <v>#N/A</v>
      </c>
      <c r="K19" s="404" t="e">
        <f>SUM($F18:$K18)</f>
        <v>#N/A</v>
      </c>
      <c r="L19" s="404" t="e">
        <f>K19+L18</f>
        <v>#N/A</v>
      </c>
      <c r="M19" s="404" t="e">
        <f>L19+M18</f>
        <v>#N/A</v>
      </c>
      <c r="N19" s="404" t="e">
        <f>SUM($F18:$N18)</f>
        <v>#N/A</v>
      </c>
      <c r="O19" s="404" t="e">
        <f>SUM($F18:$O18)</f>
        <v>#N/A</v>
      </c>
      <c r="P19" s="448"/>
      <c r="Q19" s="372"/>
      <c r="R19" s="372"/>
      <c r="S19" s="404">
        <f>B16</f>
        <v>53</v>
      </c>
      <c r="T19" s="287" t="e">
        <f>$A16</f>
        <v>#N/A</v>
      </c>
      <c r="U19" s="287">
        <v>4</v>
      </c>
      <c r="V19" s="287" t="e">
        <f>$A16</f>
        <v>#N/A</v>
      </c>
      <c r="W19" s="372">
        <f t="shared" ref="W19:AF19" si="0">F19</f>
        <v>881</v>
      </c>
      <c r="X19" s="372" t="e">
        <f t="shared" si="0"/>
        <v>#N/A</v>
      </c>
      <c r="Y19" s="372" t="e">
        <f t="shared" si="0"/>
        <v>#N/A</v>
      </c>
      <c r="Z19" s="372" t="e">
        <f t="shared" si="0"/>
        <v>#N/A</v>
      </c>
      <c r="AA19" s="372" t="e">
        <f t="shared" si="0"/>
        <v>#N/A</v>
      </c>
      <c r="AB19" s="372" t="e">
        <f t="shared" si="0"/>
        <v>#N/A</v>
      </c>
      <c r="AC19" s="372" t="e">
        <f t="shared" si="0"/>
        <v>#N/A</v>
      </c>
      <c r="AD19" s="372" t="e">
        <f t="shared" si="0"/>
        <v>#N/A</v>
      </c>
      <c r="AE19" s="372" t="e">
        <f t="shared" si="0"/>
        <v>#N/A</v>
      </c>
      <c r="AF19" s="372" t="e">
        <f t="shared" si="0"/>
        <v>#N/A</v>
      </c>
      <c r="AG19" s="280"/>
      <c r="AH19" s="231"/>
      <c r="AI19" s="231"/>
      <c r="AJ19" s="404">
        <v>162</v>
      </c>
      <c r="AK19" s="231"/>
      <c r="AL19" s="280"/>
      <c r="AM19" s="280"/>
      <c r="AN19" s="280"/>
      <c r="AO19" s="280"/>
      <c r="AP19" s="280"/>
      <c r="AQ19" s="280"/>
      <c r="AR19" s="280"/>
      <c r="AS19" s="280"/>
      <c r="AT19" s="280"/>
      <c r="AU19" s="280"/>
      <c r="AV19" s="280"/>
      <c r="AW19" s="280"/>
      <c r="AX19" s="280"/>
    </row>
    <row r="20" spans="1:50" s="287" customFormat="1" ht="13.2" customHeight="1" thickBot="1" x14ac:dyDescent="0.3">
      <c r="A20" s="460"/>
      <c r="B20" s="461"/>
      <c r="C20" s="462" t="e">
        <f>VLOOKUP(B16,Уч!$A$2:$L$34,12,FALSE)</f>
        <v>#N/A</v>
      </c>
      <c r="D20" s="467"/>
      <c r="E20" s="510" t="s">
        <v>59</v>
      </c>
      <c r="F20" s="464" t="e">
        <f>RANK(F19,$W$19:$W$85,0)</f>
        <v>#N/A</v>
      </c>
      <c r="G20" s="461" t="e">
        <f>RANK(G19,$X$19:$X$85,0)</f>
        <v>#N/A</v>
      </c>
      <c r="H20" s="461" t="e">
        <f>RANK(H19,$Y$19:$Y$85,0)</f>
        <v>#N/A</v>
      </c>
      <c r="I20" s="461" t="e">
        <f>RANK(I19,$Z$19:$Z$85,0)</f>
        <v>#N/A</v>
      </c>
      <c r="J20" s="465" t="e">
        <f>RANK(J19,$AA$19:$AA$85,0)</f>
        <v>#N/A</v>
      </c>
      <c r="K20" s="461" t="e">
        <f>RANK(K19,$AB$19:$AB$85,0)</f>
        <v>#N/A</v>
      </c>
      <c r="L20" s="461" t="e">
        <f>RANK(L19,$AC$19:$AC$85,0)</f>
        <v>#N/A</v>
      </c>
      <c r="M20" s="461" t="e">
        <f>RANK(M19,$AD$19:$AD$85,0)</f>
        <v>#N/A</v>
      </c>
      <c r="N20" s="461" t="e">
        <f>RANK(N19,$AE$19:$AE$85,0)</f>
        <v>#N/A</v>
      </c>
      <c r="O20" s="461" t="e">
        <f>RANK(O19,$AF$19:$AF$85,0)</f>
        <v>#N/A</v>
      </c>
      <c r="P20" s="466"/>
      <c r="Q20" s="442"/>
      <c r="R20" s="442"/>
      <c r="S20" s="205">
        <f>B16</f>
        <v>53</v>
      </c>
      <c r="T20" s="287" t="e">
        <f>$A16</f>
        <v>#N/A</v>
      </c>
      <c r="U20" s="287">
        <v>5</v>
      </c>
      <c r="V20" s="287" t="e">
        <f>$A16</f>
        <v>#N/A</v>
      </c>
      <c r="W20" s="449"/>
      <c r="X20" s="307"/>
      <c r="Y20" s="307"/>
      <c r="Z20" s="307"/>
      <c r="AA20" s="307"/>
      <c r="AB20" s="307"/>
      <c r="AC20" s="307"/>
      <c r="AD20" s="450"/>
      <c r="AE20" s="450"/>
      <c r="AF20" s="450"/>
      <c r="AG20" s="280"/>
      <c r="AH20" s="231"/>
      <c r="AI20" s="231"/>
      <c r="AJ20" s="404">
        <v>162</v>
      </c>
      <c r="AK20" s="231"/>
      <c r="AL20" s="280"/>
      <c r="AM20" s="280"/>
      <c r="AN20" s="280"/>
      <c r="AO20" s="280"/>
      <c r="AP20" s="280"/>
      <c r="AQ20" s="280"/>
      <c r="AR20" s="280"/>
      <c r="AS20" s="280"/>
      <c r="AT20" s="280"/>
      <c r="AU20" s="280"/>
      <c r="AV20" s="280"/>
      <c r="AW20" s="280"/>
      <c r="AX20" s="280"/>
    </row>
    <row r="21" spans="1:50" s="280" customFormat="1" ht="13.2" customHeight="1" thickTop="1" x14ac:dyDescent="0.35">
      <c r="A21" s="231" t="e">
        <f>RANK(P21,$P$16:$P$85,0)</f>
        <v>#N/A</v>
      </c>
      <c r="B21" s="404">
        <v>56</v>
      </c>
      <c r="C21" s="443" t="e">
        <f>VLOOKUP(B21,Уч!$A$2:$L$34,2,FALSE)</f>
        <v>#N/A</v>
      </c>
      <c r="D21" s="444" t="e">
        <f>VLOOKUP(B21,Уч!$A$2:$L$34,3,FALSE)</f>
        <v>#N/A</v>
      </c>
      <c r="E21" s="509" t="s">
        <v>19</v>
      </c>
      <c r="F21" s="445" t="e">
        <f>VLOOKUP($B21,'100 м 1'!$C$18:$I$87,5,FALSE)</f>
        <v>#N/A</v>
      </c>
      <c r="G21" s="446" t="e">
        <f>VLOOKUP($B21,'длина 2 '!$C$16:$O$54,11,FALSE)</f>
        <v>#N/A</v>
      </c>
      <c r="H21" s="446" t="e">
        <f>VLOOKUP($B21,'ядро 2'!$C$16:$K$60,8,FALSE)</f>
        <v>#N/A</v>
      </c>
      <c r="I21" s="446" t="e">
        <f>VLOOKUP($B21,'высота 2'!$C$16:$AF$57,29,FALSE)</f>
        <v>#N/A</v>
      </c>
      <c r="J21" s="447">
        <f>VLOOKUP($B21,'4_р'!$C$17:$H$73,5,FALSE)</f>
        <v>0</v>
      </c>
      <c r="K21" s="446">
        <f>VLOOKUP($B21,'1cб_р'!$C$17:$I$67,5,FALSE)</f>
        <v>0</v>
      </c>
      <c r="L21" s="446">
        <f>VLOOKUP($B21,Дс_р!$C$16:$K$70,8,FALSE)</f>
        <v>37.44</v>
      </c>
      <c r="M21" s="446">
        <f>VLOOKUP($B21,Ш_р!$C$15:$AF$69,29,FALSE)</f>
        <v>0</v>
      </c>
      <c r="N21" s="446">
        <f>VLOOKUP($B21,К_р!$C$15:$K$68,8,FALSE)</f>
        <v>46.68</v>
      </c>
      <c r="O21" s="404">
        <f>VLOOKUP($B21,'15_р'!$C$17:$H$86,5,FALSE)</f>
        <v>0</v>
      </c>
      <c r="P21" s="448" t="e">
        <f>SUM(F23:O23)</f>
        <v>#N/A</v>
      </c>
      <c r="Q21" s="231" t="e">
        <f>LOOKUP(P21,Y$1:AH$1,Y$2:AH$2)</f>
        <v>#N/A</v>
      </c>
      <c r="R21" s="404" t="e">
        <f>AH21+AI21+5</f>
        <v>#N/A</v>
      </c>
      <c r="S21" s="404">
        <f>B21</f>
        <v>56</v>
      </c>
      <c r="T21" s="287" t="e">
        <f>$A21</f>
        <v>#N/A</v>
      </c>
      <c r="U21" s="287">
        <v>1</v>
      </c>
      <c r="V21" s="287" t="e">
        <f>$A21</f>
        <v>#N/A</v>
      </c>
      <c r="W21" s="449"/>
      <c r="X21" s="307"/>
      <c r="Y21" s="307"/>
      <c r="Z21" s="307"/>
      <c r="AA21" s="307"/>
      <c r="AB21" s="307"/>
      <c r="AC21" s="307"/>
      <c r="AD21" s="450"/>
      <c r="AE21" s="450"/>
      <c r="AF21" s="450"/>
      <c r="AH21" s="280" t="e">
        <f>IF(AND(T21&gt;16,P21&gt;=5500),"1",LOOKUP(T21,Y$5:AO$5,Y$6:AO$6))</f>
        <v>#N/A</v>
      </c>
      <c r="AI21" s="280" t="e">
        <f>LOOKUP(Q21,Y$8:AD$8,Y$9:AD$9)</f>
        <v>#N/A</v>
      </c>
      <c r="AJ21" s="404">
        <v>63</v>
      </c>
      <c r="AK21" s="231"/>
    </row>
    <row r="22" spans="1:50" s="280" customFormat="1" ht="13.2" customHeight="1" x14ac:dyDescent="0.35">
      <c r="A22" s="231"/>
      <c r="B22" s="404"/>
      <c r="C22" s="451" t="e">
        <f>VLOOKUP(B21,Уч!$A$2:$L$34,5,FALSE)</f>
        <v>#N/A</v>
      </c>
      <c r="D22" s="444" t="e">
        <f>VLOOKUP(B21,Уч!$A$2:$L$34,4,FALSE)</f>
        <v>#N/A</v>
      </c>
      <c r="E22" s="509" t="s">
        <v>25</v>
      </c>
      <c r="F22" s="453" t="e">
        <f>VLOOKUP($B21,'100 м 1'!$C$18:$I$87,6,FALSE)</f>
        <v>#N/A</v>
      </c>
      <c r="G22" s="454" t="e">
        <f>VLOOKUP($B21,'длина 2 '!$C$16:$O$54,12,FALSE)</f>
        <v>#N/A</v>
      </c>
      <c r="H22" s="404"/>
      <c r="I22" s="454"/>
      <c r="J22" s="455"/>
      <c r="K22" s="454">
        <f>VLOOKUP($B21,'1cб_р'!$C$17:$I$67,6,FALSE)</f>
        <v>0</v>
      </c>
      <c r="L22" s="454"/>
      <c r="M22" s="454"/>
      <c r="N22" s="404"/>
      <c r="O22" s="404"/>
      <c r="P22" s="448"/>
      <c r="Q22" s="456"/>
      <c r="R22" s="404" t="e">
        <f>CONCATENATE(AH21,"+",AI21,"+",5)</f>
        <v>#N/A</v>
      </c>
      <c r="S22" s="404">
        <f>B21</f>
        <v>56</v>
      </c>
      <c r="T22" s="287" t="e">
        <f>$A21</f>
        <v>#N/A</v>
      </c>
      <c r="U22" s="287">
        <v>2</v>
      </c>
      <c r="V22" s="287" t="e">
        <f>$A21</f>
        <v>#N/A</v>
      </c>
      <c r="W22" s="449"/>
      <c r="X22" s="307"/>
      <c r="Y22" s="307"/>
      <c r="Z22" s="307"/>
      <c r="AA22" s="307"/>
      <c r="AB22" s="307"/>
      <c r="AC22" s="307"/>
      <c r="AD22" s="450"/>
      <c r="AE22" s="450"/>
      <c r="AF22" s="450"/>
      <c r="AH22" s="231"/>
      <c r="AI22" s="231"/>
      <c r="AJ22" s="404">
        <v>63</v>
      </c>
      <c r="AK22" s="231"/>
    </row>
    <row r="23" spans="1:50" s="280" customFormat="1" ht="13.2" customHeight="1" x14ac:dyDescent="0.35">
      <c r="A23" s="231"/>
      <c r="B23" s="404"/>
      <c r="C23" s="457" t="e">
        <f>VLOOKUP(B21,Уч!$A$2:$L$34,7,FALSE)</f>
        <v>#N/A</v>
      </c>
      <c r="D23" s="444"/>
      <c r="E23" s="509" t="s">
        <v>29</v>
      </c>
      <c r="F23" s="458" t="e">
        <f>VLOOKUP($B21,'100 м 1'!$C$18:$I$87,7,FALSE)</f>
        <v>#N/A</v>
      </c>
      <c r="G23" s="404" t="e">
        <f>VLOOKUP($B21,'длина 2 '!$C$16:$O$54,13,FALSE)</f>
        <v>#N/A</v>
      </c>
      <c r="H23" s="404" t="e">
        <f>VLOOKUP($B21,'ядро 2'!$C$16:$K$60,9,FALSE)</f>
        <v>#N/A</v>
      </c>
      <c r="I23" s="404" t="e">
        <f>VLOOKUP($B21,'высота 2'!$C$16:$AF$57,30,)</f>
        <v>#N/A</v>
      </c>
      <c r="J23" s="459">
        <f>VLOOKUP($B21,'4_р'!$C$17:$H$73,6,FALSE)</f>
        <v>0</v>
      </c>
      <c r="K23" s="404">
        <f>VLOOKUP($B21,'1cб_р'!$C$17:$I$67,7,FALSE)</f>
        <v>0</v>
      </c>
      <c r="L23" s="404">
        <f>VLOOKUP($B21,Дс_р!$C$16:$K$70,9,FALSE)</f>
        <v>613</v>
      </c>
      <c r="M23" s="404">
        <f>VLOOKUP($B21,Ш_р!$C$15:$AF$69,30,FALSE)</f>
        <v>0</v>
      </c>
      <c r="N23" s="404">
        <f>VLOOKUP($B21,К_р!$C$15:$K$68,9,FALSE)</f>
        <v>540</v>
      </c>
      <c r="O23" s="404">
        <f>VLOOKUP($B21,'15_р'!$C$17:$H$86,6,FALSE)</f>
        <v>0</v>
      </c>
      <c r="P23" s="448"/>
      <c r="Q23" s="456"/>
      <c r="R23" s="372"/>
      <c r="S23" s="404">
        <f>B21</f>
        <v>56</v>
      </c>
      <c r="T23" s="287" t="e">
        <f>$A21</f>
        <v>#N/A</v>
      </c>
      <c r="U23" s="287">
        <v>3</v>
      </c>
      <c r="V23" s="287" t="e">
        <f>$A21</f>
        <v>#N/A</v>
      </c>
      <c r="W23" s="449"/>
      <c r="X23" s="307"/>
      <c r="Y23" s="307"/>
      <c r="Z23" s="307"/>
      <c r="AA23" s="307"/>
      <c r="AB23" s="307"/>
      <c r="AC23" s="307"/>
      <c r="AD23" s="450"/>
      <c r="AE23" s="450"/>
      <c r="AF23" s="450"/>
      <c r="AH23" s="231"/>
      <c r="AI23" s="231"/>
      <c r="AJ23" s="404">
        <v>63</v>
      </c>
      <c r="AK23" s="231"/>
    </row>
    <row r="24" spans="1:50" s="280" customFormat="1" ht="13.2" customHeight="1" x14ac:dyDescent="0.35">
      <c r="A24" s="231"/>
      <c r="B24" s="404"/>
      <c r="C24" s="451" t="e">
        <f>VLOOKUP(B21,Уч!$A$2:$L$34,11,FALSE)</f>
        <v>#N/A</v>
      </c>
      <c r="D24" s="444"/>
      <c r="E24" s="509" t="s">
        <v>276</v>
      </c>
      <c r="F24" s="458" t="e">
        <f>F23</f>
        <v>#N/A</v>
      </c>
      <c r="G24" s="404" t="e">
        <f>F24+G23</f>
        <v>#N/A</v>
      </c>
      <c r="H24" s="404" t="e">
        <f>G24+H23</f>
        <v>#N/A</v>
      </c>
      <c r="I24" s="404" t="e">
        <f>H24+I23</f>
        <v>#N/A</v>
      </c>
      <c r="J24" s="459" t="e">
        <f>SUM($F23:J23)</f>
        <v>#N/A</v>
      </c>
      <c r="K24" s="404" t="e">
        <f>SUM($F23:$K23)</f>
        <v>#N/A</v>
      </c>
      <c r="L24" s="404" t="e">
        <f>K24+L23</f>
        <v>#N/A</v>
      </c>
      <c r="M24" s="404" t="e">
        <f>L24+M23</f>
        <v>#N/A</v>
      </c>
      <c r="N24" s="404" t="e">
        <f>SUM($F23:$N23)</f>
        <v>#N/A</v>
      </c>
      <c r="O24" s="404" t="e">
        <f>SUM($F23:$O23)</f>
        <v>#N/A</v>
      </c>
      <c r="P24" s="448"/>
      <c r="Q24" s="456"/>
      <c r="R24" s="372"/>
      <c r="S24" s="404">
        <f>B21</f>
        <v>56</v>
      </c>
      <c r="T24" s="287" t="e">
        <f>$A21</f>
        <v>#N/A</v>
      </c>
      <c r="U24" s="287">
        <v>4</v>
      </c>
      <c r="V24" s="287" t="e">
        <f>$A21</f>
        <v>#N/A</v>
      </c>
      <c r="W24" s="372" t="e">
        <f t="shared" ref="W24:AF24" si="1">F24</f>
        <v>#N/A</v>
      </c>
      <c r="X24" s="372" t="e">
        <f t="shared" si="1"/>
        <v>#N/A</v>
      </c>
      <c r="Y24" s="372" t="e">
        <f t="shared" si="1"/>
        <v>#N/A</v>
      </c>
      <c r="Z24" s="372" t="e">
        <f t="shared" si="1"/>
        <v>#N/A</v>
      </c>
      <c r="AA24" s="372" t="e">
        <f t="shared" si="1"/>
        <v>#N/A</v>
      </c>
      <c r="AB24" s="372" t="e">
        <f t="shared" si="1"/>
        <v>#N/A</v>
      </c>
      <c r="AC24" s="372" t="e">
        <f t="shared" si="1"/>
        <v>#N/A</v>
      </c>
      <c r="AD24" s="372" t="e">
        <f t="shared" si="1"/>
        <v>#N/A</v>
      </c>
      <c r="AE24" s="372" t="e">
        <f t="shared" si="1"/>
        <v>#N/A</v>
      </c>
      <c r="AF24" s="372" t="e">
        <f t="shared" si="1"/>
        <v>#N/A</v>
      </c>
      <c r="AH24" s="231"/>
      <c r="AI24" s="231"/>
      <c r="AJ24" s="404">
        <v>63</v>
      </c>
      <c r="AK24" s="231"/>
    </row>
    <row r="25" spans="1:50" s="280" customFormat="1" ht="13.2" customHeight="1" thickBot="1" x14ac:dyDescent="0.3">
      <c r="A25" s="460"/>
      <c r="B25" s="461"/>
      <c r="C25" s="462" t="e">
        <f>VLOOKUP(B21,Уч!$A$2:$L$34,12,FALSE)</f>
        <v>#N/A</v>
      </c>
      <c r="D25" s="467"/>
      <c r="E25" s="510" t="s">
        <v>59</v>
      </c>
      <c r="F25" s="464" t="e">
        <f>RANK(F24,$W$19:$W$85,0)</f>
        <v>#N/A</v>
      </c>
      <c r="G25" s="461" t="e">
        <f>RANK(G24,$X$19:$X$85,0)</f>
        <v>#N/A</v>
      </c>
      <c r="H25" s="461" t="e">
        <f>RANK(H24,$Y$19:$Y$85,0)</f>
        <v>#N/A</v>
      </c>
      <c r="I25" s="461" t="e">
        <f>RANK(I24,$Z$19:$Z$85,0)</f>
        <v>#N/A</v>
      </c>
      <c r="J25" s="465" t="e">
        <f>RANK(J24,$AA$19:$AA$85,0)</f>
        <v>#N/A</v>
      </c>
      <c r="K25" s="461" t="e">
        <f>RANK(K24,$AB$19:$AB$85,0)</f>
        <v>#N/A</v>
      </c>
      <c r="L25" s="461" t="e">
        <f>RANK(L24,$AC$19:$AC$85,0)</f>
        <v>#N/A</v>
      </c>
      <c r="M25" s="461" t="e">
        <f>RANK(M24,$AD$19:$AD$85,0)</f>
        <v>#N/A</v>
      </c>
      <c r="N25" s="461" t="e">
        <f>RANK(N24,$AE$19:$AE$85,0)</f>
        <v>#N/A</v>
      </c>
      <c r="O25" s="461" t="e">
        <f>RANK(O24,$AF$19:$AF$85,0)</f>
        <v>#N/A</v>
      </c>
      <c r="P25" s="466"/>
      <c r="Q25" s="442"/>
      <c r="R25" s="442"/>
      <c r="S25" s="205">
        <f>B21</f>
        <v>56</v>
      </c>
      <c r="T25" s="287" t="e">
        <f>$A21</f>
        <v>#N/A</v>
      </c>
      <c r="U25" s="287">
        <v>5</v>
      </c>
      <c r="V25" s="287" t="e">
        <f>$A21</f>
        <v>#N/A</v>
      </c>
      <c r="W25" s="449"/>
      <c r="X25" s="307"/>
      <c r="Y25" s="307"/>
      <c r="Z25" s="307"/>
      <c r="AA25" s="307"/>
      <c r="AB25" s="307"/>
      <c r="AC25" s="307"/>
      <c r="AD25" s="450"/>
      <c r="AE25" s="450"/>
      <c r="AF25" s="450"/>
      <c r="AH25" s="231"/>
      <c r="AI25" s="231"/>
      <c r="AJ25" s="404">
        <v>63</v>
      </c>
      <c r="AK25" s="231"/>
    </row>
    <row r="26" spans="1:50" s="280" customFormat="1" ht="13.2" customHeight="1" thickTop="1" x14ac:dyDescent="0.35">
      <c r="A26" s="231" t="e">
        <f>RANK(P26,$P$16:$P$85,0)</f>
        <v>#N/A</v>
      </c>
      <c r="B26" s="404">
        <v>79</v>
      </c>
      <c r="C26" s="443" t="str">
        <f>VLOOKUP(B26,Уч!$A$2:$L$34,2,FALSE)</f>
        <v>Шестопалов Феликс</v>
      </c>
      <c r="D26" s="444" t="str">
        <f>VLOOKUP(B26,Уч!$A$2:$L$34,3,FALSE)</f>
        <v>11.03.1996</v>
      </c>
      <c r="E26" s="509" t="s">
        <v>19</v>
      </c>
      <c r="F26" s="445">
        <f>VLOOKUP($B26,'100 м 1'!$C$18:$I$87,5,FALSE)</f>
        <v>11.13</v>
      </c>
      <c r="G26" s="446" t="e">
        <f>VLOOKUP($B26,'длина 2 '!$C$16:$O$54,11,FALSE)</f>
        <v>#N/A</v>
      </c>
      <c r="H26" s="446" t="e">
        <f>VLOOKUP($B26,'ядро 2'!$C$16:$K$60,8,FALSE)</f>
        <v>#N/A</v>
      </c>
      <c r="I26" s="446" t="e">
        <f>VLOOKUP($B26,'высота 2'!$C$16:$AF$57,29,FALSE)</f>
        <v>#N/A</v>
      </c>
      <c r="J26" s="447" t="e">
        <f>VLOOKUP($B26,'4_р'!$C$17:$H$73,5,FALSE)</f>
        <v>#N/A</v>
      </c>
      <c r="K26" s="446" t="e">
        <f>VLOOKUP($B26,'1cб_р'!$C$17:$I$67,5,FALSE)</f>
        <v>#N/A</v>
      </c>
      <c r="L26" s="446" t="e">
        <f>VLOOKUP($B26,Дс_р!$C$16:$K$70,8,FALSE)</f>
        <v>#N/A</v>
      </c>
      <c r="M26" s="446" t="e">
        <f>VLOOKUP($B26,Ш_р!$C$15:$AF$69,29,FALSE)</f>
        <v>#N/A</v>
      </c>
      <c r="N26" s="446" t="e">
        <f>VLOOKUP($B26,К_р!$C$15:$K$68,8,FALSE)</f>
        <v>#N/A</v>
      </c>
      <c r="O26" s="404" t="e">
        <f>VLOOKUP($B26,'15_р'!$C$17:$H$86,5,FALSE)</f>
        <v>#N/A</v>
      </c>
      <c r="P26" s="448" t="e">
        <f>SUM(F28:O28)</f>
        <v>#N/A</v>
      </c>
      <c r="Q26" s="231" t="e">
        <f>LOOKUP(P26,Y$1:AH$1,Y$2:AH$2)</f>
        <v>#N/A</v>
      </c>
      <c r="R26" s="404" t="s">
        <v>116</v>
      </c>
      <c r="S26" s="404">
        <f>B26</f>
        <v>79</v>
      </c>
      <c r="T26" s="287" t="e">
        <f>$A26</f>
        <v>#N/A</v>
      </c>
      <c r="U26" s="287">
        <v>1</v>
      </c>
      <c r="V26" s="287" t="s">
        <v>162</v>
      </c>
      <c r="W26" s="492"/>
      <c r="X26" s="492"/>
      <c r="Y26" s="492"/>
      <c r="Z26" s="492"/>
      <c r="AA26" s="492"/>
      <c r="AB26" s="492"/>
      <c r="AC26" s="492"/>
      <c r="AD26" s="492"/>
      <c r="AE26" s="492"/>
      <c r="AF26" s="492"/>
      <c r="AG26" s="287"/>
      <c r="AH26" s="280" t="e">
        <f>IF(AND(T26&gt;16,P26&gt;=5500),"1",LOOKUP(T26,Y$5:AO$5,Y$6:AO$6))</f>
        <v>#N/A</v>
      </c>
      <c r="AI26" s="280" t="e">
        <f>LOOKUP(Q26,Y$8:AD$8,Y$9:AD$9)</f>
        <v>#N/A</v>
      </c>
      <c r="AJ26" s="404">
        <v>319</v>
      </c>
      <c r="AK26" s="231"/>
      <c r="AL26" s="287"/>
      <c r="AM26" s="287"/>
      <c r="AN26" s="287"/>
      <c r="AO26" s="287"/>
    </row>
    <row r="27" spans="1:50" s="280" customFormat="1" ht="13.2" customHeight="1" x14ac:dyDescent="0.35">
      <c r="A27" s="231"/>
      <c r="B27" s="404"/>
      <c r="C27" s="451" t="str">
        <f>VLOOKUP(B26,Уч!$A$2:$L$34,5,FALSE)</f>
        <v xml:space="preserve">Москва Ставропольский край </v>
      </c>
      <c r="D27" s="444" t="str">
        <f>VLOOKUP(B26,Уч!$A$2:$L$34,4,FALSE)</f>
        <v>МС</v>
      </c>
      <c r="E27" s="509" t="s">
        <v>25</v>
      </c>
      <c r="F27" s="453">
        <f>VLOOKUP($B26,'100 м 1'!$C$18:$I$87,6,FALSE)</f>
        <v>0</v>
      </c>
      <c r="G27" s="454" t="e">
        <f>VLOOKUP($B26,'длина 2 '!$C$16:$O$54,12,FALSE)</f>
        <v>#N/A</v>
      </c>
      <c r="H27" s="404"/>
      <c r="I27" s="454"/>
      <c r="J27" s="455"/>
      <c r="K27" s="454" t="e">
        <f>VLOOKUP($B26,'1cб_р'!$C$17:$I$67,6,FALSE)</f>
        <v>#N/A</v>
      </c>
      <c r="L27" s="454"/>
      <c r="M27" s="454"/>
      <c r="N27" s="404"/>
      <c r="O27" s="404"/>
      <c r="P27" s="474"/>
      <c r="Q27" s="303"/>
      <c r="R27" s="473" t="e">
        <f>CONCATENATE(AH26,"+",AI26,"+",5)</f>
        <v>#N/A</v>
      </c>
      <c r="S27" s="404">
        <f>B26</f>
        <v>79</v>
      </c>
      <c r="T27" s="287" t="e">
        <f>$A26</f>
        <v>#N/A</v>
      </c>
      <c r="U27" s="287">
        <v>2</v>
      </c>
      <c r="V27" s="287" t="s">
        <v>162</v>
      </c>
      <c r="W27" s="492"/>
      <c r="X27" s="492"/>
      <c r="Y27" s="492"/>
      <c r="Z27" s="492"/>
      <c r="AA27" s="492"/>
      <c r="AB27" s="492"/>
      <c r="AC27" s="492"/>
      <c r="AD27" s="492"/>
      <c r="AE27" s="492"/>
      <c r="AF27" s="492"/>
      <c r="AG27" s="287"/>
      <c r="AH27" s="231"/>
      <c r="AI27" s="231"/>
      <c r="AJ27" s="404">
        <v>319</v>
      </c>
      <c r="AK27" s="231"/>
      <c r="AL27" s="287"/>
      <c r="AM27" s="287"/>
      <c r="AN27" s="287"/>
      <c r="AO27" s="287"/>
    </row>
    <row r="28" spans="1:50" s="280" customFormat="1" ht="13.2" customHeight="1" x14ac:dyDescent="0.35">
      <c r="A28" s="231"/>
      <c r="B28" s="404"/>
      <c r="C28" s="457" t="str">
        <f>VLOOKUP(B26,Уч!$A$2:$L$34,7,FALSE)</f>
        <v>ГБУ "ФСО "Юность Москвы" Москомспорта, ГБУ СК "РЦСП"</v>
      </c>
      <c r="D28" s="444"/>
      <c r="E28" s="509" t="s">
        <v>29</v>
      </c>
      <c r="F28" s="458">
        <f>VLOOKUP($B26,'100 м 1'!$C$18:$I$87,7,FALSE)</f>
        <v>832</v>
      </c>
      <c r="G28" s="404" t="e">
        <f>VLOOKUP($B26,'длина 2 '!$C$16:$O$54,13,FALSE)</f>
        <v>#N/A</v>
      </c>
      <c r="H28" s="404" t="e">
        <f>VLOOKUP($B26,'ядро 2'!$C$16:$K$60,9,FALSE)</f>
        <v>#N/A</v>
      </c>
      <c r="I28" s="404" t="e">
        <f>VLOOKUP($B26,'высота 2'!$C$16:$AF$57,30,)</f>
        <v>#N/A</v>
      </c>
      <c r="J28" s="459" t="e">
        <f>VLOOKUP($B26,'4_р'!$C$17:$H$73,6,FALSE)</f>
        <v>#N/A</v>
      </c>
      <c r="K28" s="404" t="e">
        <f>VLOOKUP($B26,'1cб_р'!$C$17:$I$67,7,FALSE)</f>
        <v>#N/A</v>
      </c>
      <c r="L28" s="404" t="e">
        <f>VLOOKUP($B26,Дс_р!$C$16:$K$70,9,FALSE)</f>
        <v>#N/A</v>
      </c>
      <c r="M28" s="404" t="e">
        <f>VLOOKUP($B26,Ш_р!$C$15:$AF$69,30,FALSE)</f>
        <v>#N/A</v>
      </c>
      <c r="N28" s="404" t="e">
        <f>VLOOKUP($B26,К_р!$C$15:$K$68,9,FALSE)</f>
        <v>#N/A</v>
      </c>
      <c r="O28" s="404" t="e">
        <f>VLOOKUP($B26,'15_р'!$C$17:$H$86,6,FALSE)</f>
        <v>#N/A</v>
      </c>
      <c r="P28" s="474"/>
      <c r="Q28" s="493"/>
      <c r="R28" s="306"/>
      <c r="S28" s="404">
        <f>B26</f>
        <v>79</v>
      </c>
      <c r="T28" s="287" t="e">
        <f>$A26</f>
        <v>#N/A</v>
      </c>
      <c r="U28" s="287">
        <v>3</v>
      </c>
      <c r="V28" s="287" t="s">
        <v>162</v>
      </c>
      <c r="W28" s="492"/>
      <c r="X28" s="492"/>
      <c r="Y28" s="492"/>
      <c r="Z28" s="492"/>
      <c r="AA28" s="492"/>
      <c r="AB28" s="492"/>
      <c r="AC28" s="492"/>
      <c r="AD28" s="492"/>
      <c r="AE28" s="492"/>
      <c r="AF28" s="492"/>
      <c r="AG28" s="287"/>
      <c r="AH28" s="231"/>
      <c r="AI28" s="231"/>
      <c r="AJ28" s="404">
        <v>319</v>
      </c>
      <c r="AK28" s="231"/>
      <c r="AL28" s="287"/>
      <c r="AM28" s="287"/>
      <c r="AN28" s="287"/>
      <c r="AO28" s="287"/>
    </row>
    <row r="29" spans="1:50" s="280" customFormat="1" ht="13.2" customHeight="1" x14ac:dyDescent="0.35">
      <c r="A29" s="231"/>
      <c r="B29" s="404"/>
      <c r="C29" s="451" t="str">
        <f>VLOOKUP(B26,Уч!$A$2:$L$34,11,FALSE)</f>
        <v>Мирошниченко В.И., Журавлева Т.В.</v>
      </c>
      <c r="D29" s="444"/>
      <c r="E29" s="509" t="s">
        <v>276</v>
      </c>
      <c r="F29" s="458">
        <f>F28</f>
        <v>832</v>
      </c>
      <c r="G29" s="404" t="e">
        <f>F29+G28</f>
        <v>#N/A</v>
      </c>
      <c r="H29" s="404" t="e">
        <f>G29+H28</f>
        <v>#N/A</v>
      </c>
      <c r="I29" s="404" t="e">
        <f>H29+I28</f>
        <v>#N/A</v>
      </c>
      <c r="J29" s="459" t="e">
        <f>SUM($F28:J28)</f>
        <v>#N/A</v>
      </c>
      <c r="K29" s="404" t="e">
        <f>SUM($F28:$K28)</f>
        <v>#N/A</v>
      </c>
      <c r="L29" s="404" t="e">
        <f>K29+L28</f>
        <v>#N/A</v>
      </c>
      <c r="M29" s="404" t="e">
        <f>L29+M28</f>
        <v>#N/A</v>
      </c>
      <c r="N29" s="404" t="e">
        <f>SUM($F28:$N28)</f>
        <v>#N/A</v>
      </c>
      <c r="O29" s="404" t="e">
        <f>SUM($F28:$O28)</f>
        <v>#N/A</v>
      </c>
      <c r="P29" s="474"/>
      <c r="Q29" s="303"/>
      <c r="R29" s="306"/>
      <c r="S29" s="404">
        <f>B26</f>
        <v>79</v>
      </c>
      <c r="T29" s="287" t="e">
        <f>$A26</f>
        <v>#N/A</v>
      </c>
      <c r="U29" s="287">
        <v>4</v>
      </c>
      <c r="V29" s="287" t="s">
        <v>162</v>
      </c>
      <c r="W29" s="372">
        <f t="shared" ref="W29:AF29" si="2">F29</f>
        <v>832</v>
      </c>
      <c r="X29" s="372" t="e">
        <f t="shared" si="2"/>
        <v>#N/A</v>
      </c>
      <c r="Y29" s="372" t="e">
        <f t="shared" si="2"/>
        <v>#N/A</v>
      </c>
      <c r="Z29" s="372" t="e">
        <f t="shared" si="2"/>
        <v>#N/A</v>
      </c>
      <c r="AA29" s="372" t="e">
        <f t="shared" si="2"/>
        <v>#N/A</v>
      </c>
      <c r="AB29" s="372" t="e">
        <f t="shared" si="2"/>
        <v>#N/A</v>
      </c>
      <c r="AC29" s="372" t="e">
        <f t="shared" si="2"/>
        <v>#N/A</v>
      </c>
      <c r="AD29" s="372" t="e">
        <f t="shared" si="2"/>
        <v>#N/A</v>
      </c>
      <c r="AE29" s="372" t="e">
        <f t="shared" si="2"/>
        <v>#N/A</v>
      </c>
      <c r="AF29" s="372" t="e">
        <f t="shared" si="2"/>
        <v>#N/A</v>
      </c>
      <c r="AG29" s="287"/>
      <c r="AH29" s="231"/>
      <c r="AI29" s="231"/>
      <c r="AJ29" s="404">
        <v>319</v>
      </c>
      <c r="AK29" s="231"/>
      <c r="AL29" s="287"/>
      <c r="AM29" s="287"/>
      <c r="AN29" s="287"/>
      <c r="AO29" s="287"/>
    </row>
    <row r="30" spans="1:50" s="280" customFormat="1" ht="13.2" customHeight="1" thickBot="1" x14ac:dyDescent="0.3">
      <c r="A30" s="460"/>
      <c r="B30" s="461"/>
      <c r="C30" s="462">
        <f>VLOOKUP(B26,Уч!$A$2:$L$34,12,FALSE)</f>
        <v>0</v>
      </c>
      <c r="D30" s="467"/>
      <c r="E30" s="510" t="s">
        <v>59</v>
      </c>
      <c r="F30" s="464" t="e">
        <f>RANK(F29,$W$19:$W$85,0)</f>
        <v>#N/A</v>
      </c>
      <c r="G30" s="461" t="e">
        <f>RANK(G29,$X$19:$X$85,0)</f>
        <v>#N/A</v>
      </c>
      <c r="H30" s="461" t="e">
        <f>RANK(H29,$Y$19:$Y$85,0)</f>
        <v>#N/A</v>
      </c>
      <c r="I30" s="461" t="e">
        <f>RANK(I29,$Z$19:$Z$85,0)</f>
        <v>#N/A</v>
      </c>
      <c r="J30" s="465" t="e">
        <f>RANK(J29,$AA$19:$AA$85,0)</f>
        <v>#N/A</v>
      </c>
      <c r="K30" s="461" t="e">
        <f>RANK(K29,$AB$19:$AB$85,0)</f>
        <v>#N/A</v>
      </c>
      <c r="L30" s="461" t="e">
        <f>RANK(L29,$AC$19:$AC$85,0)</f>
        <v>#N/A</v>
      </c>
      <c r="M30" s="461" t="e">
        <f>RANK(M29,$AD$19:$AD$85,0)</f>
        <v>#N/A</v>
      </c>
      <c r="N30" s="461" t="e">
        <f>RANK(N29,$AE$19:$AE$85,0)</f>
        <v>#N/A</v>
      </c>
      <c r="O30" s="461" t="e">
        <f>RANK(O29,$AF$19:$AF$85,0)</f>
        <v>#N/A</v>
      </c>
      <c r="P30" s="494"/>
      <c r="Q30" s="495"/>
      <c r="R30" s="495"/>
      <c r="S30" s="205">
        <f>B26</f>
        <v>79</v>
      </c>
      <c r="T30" s="287" t="e">
        <f>$A26</f>
        <v>#N/A</v>
      </c>
      <c r="U30" s="287">
        <v>5</v>
      </c>
      <c r="V30" s="287" t="s">
        <v>162</v>
      </c>
      <c r="W30" s="492"/>
      <c r="X30" s="492"/>
      <c r="Y30" s="492"/>
      <c r="Z30" s="492"/>
      <c r="AA30" s="492"/>
      <c r="AB30" s="492"/>
      <c r="AC30" s="492"/>
      <c r="AD30" s="492"/>
      <c r="AE30" s="492"/>
      <c r="AF30" s="492"/>
      <c r="AG30" s="287"/>
      <c r="AH30" s="231"/>
      <c r="AI30" s="231"/>
      <c r="AJ30" s="404">
        <v>319</v>
      </c>
      <c r="AK30" s="231"/>
      <c r="AL30" s="287"/>
      <c r="AM30" s="287"/>
      <c r="AN30" s="287"/>
      <c r="AO30" s="287"/>
    </row>
    <row r="31" spans="1:50" s="280" customFormat="1" ht="13.2" customHeight="1" thickTop="1" x14ac:dyDescent="0.35">
      <c r="A31" s="231" t="e">
        <f>RANK(P31,$P$16:$P$85,0)</f>
        <v>#N/A</v>
      </c>
      <c r="B31" s="404">
        <v>43</v>
      </c>
      <c r="C31" s="443" t="str">
        <f>VLOOKUP(B31,Уч!$A$2:$L$34,2,FALSE)</f>
        <v>Соляков Федор</v>
      </c>
      <c r="D31" s="444" t="str">
        <f>VLOOKUP(B31,Уч!$A$2:$L$34,3,FALSE)</f>
        <v>08.03.1998</v>
      </c>
      <c r="E31" s="509" t="s">
        <v>19</v>
      </c>
      <c r="F31" s="445">
        <f>VLOOKUP($B31,'100 м 1'!$C$18:$I$87,5,FALSE)</f>
        <v>11.78</v>
      </c>
      <c r="G31" s="446">
        <f>VLOOKUP($B31,'длина 2 '!$C$16:$O$54,11,FALSE)</f>
        <v>7.04</v>
      </c>
      <c r="H31" s="446">
        <f>VLOOKUP($B31,'ядро 2'!$C$16:$K$60,8,FALSE)</f>
        <v>13.33</v>
      </c>
      <c r="I31" s="446">
        <f>VLOOKUP($B31,'высота 2'!$C$16:$AF$57,29,FALSE)</f>
        <v>1.82</v>
      </c>
      <c r="J31" s="447" t="e">
        <f>VLOOKUP($B31,'4_р'!$C$17:$H$73,5,FALSE)</f>
        <v>#N/A</v>
      </c>
      <c r="K31" s="446" t="e">
        <f>VLOOKUP($B31,'1cб_р'!$C$17:$I$67,5,FALSE)</f>
        <v>#N/A</v>
      </c>
      <c r="L31" s="446" t="e">
        <f>VLOOKUP($B31,Дс_р!$C$16:$K$70,8,FALSE)</f>
        <v>#N/A</v>
      </c>
      <c r="M31" s="446" t="e">
        <f>VLOOKUP($B31,Ш_р!$C$15:$AF$69,29,FALSE)</f>
        <v>#N/A</v>
      </c>
      <c r="N31" s="446" t="e">
        <f>VLOOKUP($B31,К_р!$C$15:$K$68,8,FALSE)</f>
        <v>#N/A</v>
      </c>
      <c r="O31" s="404" t="e">
        <f>VLOOKUP($B31,'15_р'!$C$17:$H$86,5,FALSE)</f>
        <v>#N/A</v>
      </c>
      <c r="P31" s="448" t="e">
        <f>SUM(F33:O33)</f>
        <v>#N/A</v>
      </c>
      <c r="Q31" s="231" t="e">
        <f>LOOKUP(P31,Y$1:AH$1,Y$2:AH$2)</f>
        <v>#N/A</v>
      </c>
      <c r="R31" s="404" t="s">
        <v>116</v>
      </c>
      <c r="S31" s="404">
        <f>B31</f>
        <v>43</v>
      </c>
      <c r="T31" s="287" t="e">
        <f>$A31</f>
        <v>#N/A</v>
      </c>
      <c r="U31" s="287">
        <v>1</v>
      </c>
      <c r="V31" s="287" t="s">
        <v>162</v>
      </c>
      <c r="W31" s="449"/>
      <c r="X31" s="307"/>
      <c r="Y31" s="307"/>
      <c r="Z31" s="307"/>
      <c r="AA31" s="307"/>
      <c r="AB31" s="307"/>
      <c r="AC31" s="307"/>
      <c r="AD31" s="450"/>
      <c r="AE31" s="450"/>
      <c r="AF31" s="450"/>
      <c r="AH31" s="280" t="e">
        <f>IF(AND(T31&gt;16,P31&gt;=5500),"1",LOOKUP(T31,Y$5:AO$5,Y$6:AO$6))</f>
        <v>#N/A</v>
      </c>
      <c r="AI31" s="280" t="e">
        <f>LOOKUP(Q31,Y$8:AD$8,Y$9:AD$9)</f>
        <v>#N/A</v>
      </c>
      <c r="AJ31" s="404">
        <v>52</v>
      </c>
      <c r="AP31" s="287"/>
      <c r="AQ31" s="287"/>
      <c r="AR31" s="287"/>
      <c r="AS31" s="287"/>
      <c r="AT31" s="287"/>
      <c r="AU31" s="287"/>
      <c r="AV31" s="287"/>
      <c r="AW31" s="287"/>
      <c r="AX31" s="287"/>
    </row>
    <row r="32" spans="1:50" s="280" customFormat="1" ht="13.2" customHeight="1" x14ac:dyDescent="0.35">
      <c r="A32" s="231"/>
      <c r="B32" s="404"/>
      <c r="C32" s="451" t="str">
        <f>VLOOKUP(B31,Уч!$A$2:$L$34,5,FALSE)</f>
        <v xml:space="preserve">Кемеровская область  </v>
      </c>
      <c r="D32" s="452" t="str">
        <f>VLOOKUP(B31,Уч!$A$2:$L$34,4,FALSE)</f>
        <v>КМС</v>
      </c>
      <c r="E32" s="509" t="s">
        <v>25</v>
      </c>
      <c r="F32" s="453">
        <f>VLOOKUP($B31,'100 м 1'!$C$18:$I$87,6,FALSE)</f>
        <v>0.8</v>
      </c>
      <c r="G32" s="454">
        <f>VLOOKUP($B31,'длина 2 '!$C$16:$O$54,12,FALSE)</f>
        <v>0</v>
      </c>
      <c r="H32" s="404"/>
      <c r="I32" s="454"/>
      <c r="J32" s="455"/>
      <c r="K32" s="454" t="e">
        <f>VLOOKUP($B31,'1cб_р'!$C$17:$I$67,6,FALSE)</f>
        <v>#N/A</v>
      </c>
      <c r="L32" s="454"/>
      <c r="M32" s="454"/>
      <c r="N32" s="404"/>
      <c r="O32" s="404"/>
      <c r="P32" s="448"/>
      <c r="Q32" s="456"/>
      <c r="R32" s="473" t="e">
        <f>CONCATENATE(AH31,"+",AI31,"+",5)</f>
        <v>#N/A</v>
      </c>
      <c r="S32" s="404">
        <f>B31</f>
        <v>43</v>
      </c>
      <c r="T32" s="287" t="e">
        <f>$A31</f>
        <v>#N/A</v>
      </c>
      <c r="U32" s="287">
        <v>2</v>
      </c>
      <c r="V32" s="287" t="s">
        <v>162</v>
      </c>
      <c r="W32" s="449"/>
      <c r="X32" s="307"/>
      <c r="Y32" s="307"/>
      <c r="Z32" s="307"/>
      <c r="AA32" s="307"/>
      <c r="AB32" s="307"/>
      <c r="AC32" s="307"/>
      <c r="AD32" s="450"/>
      <c r="AE32" s="450"/>
      <c r="AF32" s="450"/>
      <c r="AI32" s="231"/>
      <c r="AJ32" s="404">
        <v>52</v>
      </c>
      <c r="AK32" s="231"/>
      <c r="AP32" s="287"/>
      <c r="AQ32" s="287"/>
      <c r="AR32" s="287"/>
      <c r="AS32" s="287"/>
      <c r="AT32" s="287"/>
      <c r="AU32" s="287"/>
      <c r="AV32" s="287"/>
      <c r="AW32" s="287"/>
      <c r="AX32" s="287"/>
    </row>
    <row r="33" spans="1:50" s="280" customFormat="1" ht="13.2" customHeight="1" x14ac:dyDescent="0.35">
      <c r="A33" s="231"/>
      <c r="B33" s="404"/>
      <c r="C33" s="457" t="str">
        <f>VLOOKUP(B31,Уч!$A$2:$L$34,7,FALSE)</f>
        <v>ГБФСУ КО "СШОР по легкой атлетике им. В.А.Савенкова"</v>
      </c>
      <c r="D33" s="452"/>
      <c r="E33" s="509" t="s">
        <v>29</v>
      </c>
      <c r="F33" s="458">
        <f>VLOOKUP($B31,'100 м 1'!$C$18:$I$87,7,FALSE)</f>
        <v>695</v>
      </c>
      <c r="G33" s="404">
        <f>VLOOKUP($B31,'длина 2 '!$C$16:$O$54,13,FALSE)</f>
        <v>0</v>
      </c>
      <c r="H33" s="404">
        <f>VLOOKUP($B31,'ядро 2'!$C$16:$K$60,9,FALSE)</f>
        <v>687</v>
      </c>
      <c r="I33" s="404">
        <f>VLOOKUP($B31,'высота 2'!$C$16:$AF$57,30,)</f>
        <v>0</v>
      </c>
      <c r="J33" s="459" t="e">
        <f>VLOOKUP($B31,'4_р'!$C$17:$H$73,6,FALSE)</f>
        <v>#N/A</v>
      </c>
      <c r="K33" s="404" t="e">
        <f>VLOOKUP($B31,'1cб_р'!$C$17:$I$67,7,FALSE)</f>
        <v>#N/A</v>
      </c>
      <c r="L33" s="404" t="e">
        <f>VLOOKUP($B31,Дс_р!$C$16:$K$70,9,FALSE)</f>
        <v>#N/A</v>
      </c>
      <c r="M33" s="404" t="e">
        <f>VLOOKUP($B31,Ш_р!$C$15:$AF$69,30,FALSE)</f>
        <v>#N/A</v>
      </c>
      <c r="N33" s="404" t="e">
        <f>VLOOKUP($B31,К_р!$C$15:$K$68,9,FALSE)</f>
        <v>#N/A</v>
      </c>
      <c r="O33" s="404" t="e">
        <f>VLOOKUP($B31,'15_р'!$C$17:$H$86,6,FALSE)</f>
        <v>#N/A</v>
      </c>
      <c r="P33" s="448"/>
      <c r="Q33" s="456"/>
      <c r="R33" s="372"/>
      <c r="S33" s="404">
        <f>B31</f>
        <v>43</v>
      </c>
      <c r="T33" s="287" t="e">
        <f>$A31</f>
        <v>#N/A</v>
      </c>
      <c r="U33" s="287">
        <v>3</v>
      </c>
      <c r="V33" s="287" t="s">
        <v>162</v>
      </c>
      <c r="W33" s="449"/>
      <c r="X33" s="307"/>
      <c r="Y33" s="307"/>
      <c r="Z33" s="307"/>
      <c r="AA33" s="307"/>
      <c r="AB33" s="307"/>
      <c r="AC33" s="307"/>
      <c r="AD33" s="450"/>
      <c r="AE33" s="450"/>
      <c r="AF33" s="450"/>
      <c r="AH33" s="231"/>
      <c r="AI33" s="231"/>
      <c r="AJ33" s="404">
        <v>52</v>
      </c>
      <c r="AK33" s="231"/>
      <c r="AP33" s="287"/>
      <c r="AQ33" s="287"/>
      <c r="AR33" s="287"/>
      <c r="AS33" s="287"/>
      <c r="AT33" s="287"/>
      <c r="AU33" s="287"/>
      <c r="AV33" s="287"/>
      <c r="AW33" s="287"/>
      <c r="AX33" s="287"/>
    </row>
    <row r="34" spans="1:50" s="280" customFormat="1" ht="13.2" customHeight="1" x14ac:dyDescent="0.35">
      <c r="A34" s="231"/>
      <c r="B34" s="404"/>
      <c r="C34" s="451" t="str">
        <f>VLOOKUP(B31,Уч!$A$2:$L$34,11,FALSE)</f>
        <v>Канашевич А.М., Свистич Л.И.</v>
      </c>
      <c r="D34" s="452"/>
      <c r="E34" s="509" t="s">
        <v>276</v>
      </c>
      <c r="F34" s="458">
        <f>F33</f>
        <v>695</v>
      </c>
      <c r="G34" s="404">
        <f>F34+G33</f>
        <v>695</v>
      </c>
      <c r="H34" s="404">
        <f>G34+H33</f>
        <v>1382</v>
      </c>
      <c r="I34" s="404">
        <f>H34+I33</f>
        <v>1382</v>
      </c>
      <c r="J34" s="459" t="e">
        <f>SUM($F33:J33)</f>
        <v>#N/A</v>
      </c>
      <c r="K34" s="404" t="e">
        <f>SUM($F33:$K33)</f>
        <v>#N/A</v>
      </c>
      <c r="L34" s="404" t="e">
        <f>K34+L33</f>
        <v>#N/A</v>
      </c>
      <c r="M34" s="404" t="e">
        <f>L34+M33</f>
        <v>#N/A</v>
      </c>
      <c r="N34" s="404" t="e">
        <f>SUM($F33:$N33)</f>
        <v>#N/A</v>
      </c>
      <c r="O34" s="404" t="e">
        <f>SUM($F33:$O33)</f>
        <v>#N/A</v>
      </c>
      <c r="P34" s="448"/>
      <c r="Q34" s="456"/>
      <c r="R34" s="372"/>
      <c r="S34" s="404">
        <f>B31</f>
        <v>43</v>
      </c>
      <c r="T34" s="287" t="e">
        <f>$A31</f>
        <v>#N/A</v>
      </c>
      <c r="U34" s="287">
        <v>4</v>
      </c>
      <c r="V34" s="287" t="s">
        <v>162</v>
      </c>
      <c r="W34" s="372">
        <f t="shared" ref="W34:AF34" si="3">F34</f>
        <v>695</v>
      </c>
      <c r="X34" s="372">
        <f t="shared" si="3"/>
        <v>695</v>
      </c>
      <c r="Y34" s="372">
        <f t="shared" si="3"/>
        <v>1382</v>
      </c>
      <c r="Z34" s="372">
        <f t="shared" si="3"/>
        <v>1382</v>
      </c>
      <c r="AA34" s="372" t="e">
        <f t="shared" si="3"/>
        <v>#N/A</v>
      </c>
      <c r="AB34" s="372" t="e">
        <f t="shared" si="3"/>
        <v>#N/A</v>
      </c>
      <c r="AC34" s="372" t="e">
        <f t="shared" si="3"/>
        <v>#N/A</v>
      </c>
      <c r="AD34" s="372" t="e">
        <f t="shared" si="3"/>
        <v>#N/A</v>
      </c>
      <c r="AE34" s="372" t="e">
        <f t="shared" si="3"/>
        <v>#N/A</v>
      </c>
      <c r="AF34" s="372" t="e">
        <f t="shared" si="3"/>
        <v>#N/A</v>
      </c>
      <c r="AH34" s="231"/>
      <c r="AI34" s="231"/>
      <c r="AJ34" s="404">
        <v>52</v>
      </c>
      <c r="AK34" s="231"/>
      <c r="AP34" s="287"/>
      <c r="AQ34" s="287"/>
      <c r="AR34" s="287"/>
      <c r="AS34" s="287"/>
      <c r="AT34" s="287"/>
      <c r="AU34" s="287"/>
      <c r="AV34" s="287"/>
      <c r="AW34" s="287"/>
      <c r="AX34" s="287"/>
    </row>
    <row r="35" spans="1:50" s="280" customFormat="1" ht="13.2" customHeight="1" thickBot="1" x14ac:dyDescent="0.3">
      <c r="A35" s="460"/>
      <c r="B35" s="461"/>
      <c r="C35" s="462">
        <f>VLOOKUP(B31,Уч!$A$2:$L$34,12,FALSE)</f>
        <v>0</v>
      </c>
      <c r="D35" s="463"/>
      <c r="E35" s="510" t="s">
        <v>59</v>
      </c>
      <c r="F35" s="464" t="e">
        <f>RANK(F34,$W$19:$W$85,0)</f>
        <v>#N/A</v>
      </c>
      <c r="G35" s="461" t="e">
        <f>RANK(G34,$X$19:$X$85,0)</f>
        <v>#N/A</v>
      </c>
      <c r="H35" s="461" t="e">
        <f>RANK(H34,$Y$19:$Y$85,0)</f>
        <v>#N/A</v>
      </c>
      <c r="I35" s="461" t="e">
        <f>RANK(I34,$Z$19:$Z$85,0)</f>
        <v>#N/A</v>
      </c>
      <c r="J35" s="465" t="e">
        <f>RANK(J34,$AA$19:$AA$85,0)</f>
        <v>#N/A</v>
      </c>
      <c r="K35" s="461" t="e">
        <f>RANK(K34,$AB$19:$AB$85,0)</f>
        <v>#N/A</v>
      </c>
      <c r="L35" s="461" t="e">
        <f>RANK(L34,$AC$19:$AC$85,0)</f>
        <v>#N/A</v>
      </c>
      <c r="M35" s="461" t="e">
        <f>RANK(M34,$AD$19:$AD$85,0)</f>
        <v>#N/A</v>
      </c>
      <c r="N35" s="461" t="e">
        <f>RANK(N34,$AE$19:$AE$85,0)</f>
        <v>#N/A</v>
      </c>
      <c r="O35" s="461" t="e">
        <f>RANK(O34,$AF$19:$AF$85,0)</f>
        <v>#N/A</v>
      </c>
      <c r="P35" s="466"/>
      <c r="Q35" s="442"/>
      <c r="R35" s="442"/>
      <c r="S35" s="205">
        <f>B31</f>
        <v>43</v>
      </c>
      <c r="T35" s="287" t="e">
        <f>$A31</f>
        <v>#N/A</v>
      </c>
      <c r="U35" s="287">
        <v>5</v>
      </c>
      <c r="V35" s="287" t="s">
        <v>162</v>
      </c>
      <c r="W35" s="449"/>
      <c r="X35" s="307"/>
      <c r="Y35" s="307"/>
      <c r="Z35" s="307"/>
      <c r="AA35" s="307"/>
      <c r="AB35" s="307"/>
      <c r="AC35" s="307"/>
      <c r="AD35" s="450"/>
      <c r="AE35" s="450"/>
      <c r="AF35" s="450"/>
      <c r="AH35" s="231"/>
      <c r="AI35" s="231"/>
      <c r="AJ35" s="404">
        <v>52</v>
      </c>
      <c r="AK35" s="231"/>
      <c r="AP35" s="287"/>
      <c r="AQ35" s="287"/>
      <c r="AR35" s="287"/>
      <c r="AS35" s="287"/>
      <c r="AT35" s="287"/>
      <c r="AU35" s="287"/>
      <c r="AV35" s="287"/>
      <c r="AW35" s="287"/>
      <c r="AX35" s="287"/>
    </row>
    <row r="36" spans="1:50" s="280" customFormat="1" ht="13.2" customHeight="1" thickTop="1" x14ac:dyDescent="0.35">
      <c r="A36" s="231" t="e">
        <f>RANK(P36,$P$16:$P$85,0)</f>
        <v>#N/A</v>
      </c>
      <c r="B36" s="404">
        <v>77</v>
      </c>
      <c r="C36" s="443" t="str">
        <f>VLOOKUP(B36,Уч!$A$2:$L$34,2,FALSE)</f>
        <v>Мазикин Алексей</v>
      </c>
      <c r="D36" s="444" t="str">
        <f>VLOOKUP(B36,Уч!$A$2:$L$34,3,FALSE)</f>
        <v>05.06.1998</v>
      </c>
      <c r="E36" s="509" t="s">
        <v>19</v>
      </c>
      <c r="F36" s="445">
        <f>VLOOKUP($B36,'100 м 1'!$C$18:$I$87,5,FALSE)</f>
        <v>12.19</v>
      </c>
      <c r="G36" s="446">
        <f>VLOOKUP($B36,'длина 2 '!$C$16:$O$54,11,FALSE)</f>
        <v>7.05</v>
      </c>
      <c r="H36" s="446">
        <f>VLOOKUP($B36,'ядро 2'!$C$16:$K$60,8,FALSE)</f>
        <v>11.58</v>
      </c>
      <c r="I36" s="446">
        <f>VLOOKUP($B36,'высота 2'!$C$16:$AF$57,29,FALSE)</f>
        <v>2.06</v>
      </c>
      <c r="J36" s="447" t="e">
        <f>VLOOKUP($B36,'4_р'!$C$17:$H$73,5,FALSE)</f>
        <v>#N/A</v>
      </c>
      <c r="K36" s="446" t="e">
        <f>VLOOKUP($B36,'1cб_р'!$C$17:$I$67,5,FALSE)</f>
        <v>#N/A</v>
      </c>
      <c r="L36" s="446" t="e">
        <f>VLOOKUP($B36,Дс_р!$C$16:$K$70,8,FALSE)</f>
        <v>#N/A</v>
      </c>
      <c r="M36" s="446" t="e">
        <f>VLOOKUP($B36,Ш_р!$C$15:$AF$69,29,FALSE)</f>
        <v>#N/A</v>
      </c>
      <c r="N36" s="446" t="e">
        <f>VLOOKUP($B36,К_р!$C$15:$K$68,8,FALSE)</f>
        <v>#N/A</v>
      </c>
      <c r="O36" s="404" t="e">
        <f>VLOOKUP($B36,'15_р'!$C$17:$H$86,5,FALSE)</f>
        <v>#N/A</v>
      </c>
      <c r="P36" s="448" t="e">
        <f>SUM(F38:O38)</f>
        <v>#N/A</v>
      </c>
      <c r="Q36" s="231" t="e">
        <f>LOOKUP(P36,Y$1:AH$1,Y$2:AH$2)</f>
        <v>#N/A</v>
      </c>
      <c r="R36" s="404">
        <v>20</v>
      </c>
      <c r="S36" s="404">
        <f>B36</f>
        <v>77</v>
      </c>
      <c r="T36" s="287" t="e">
        <f>$A36</f>
        <v>#N/A</v>
      </c>
      <c r="U36" s="287">
        <v>1</v>
      </c>
      <c r="V36" s="287" t="e">
        <f>$A36</f>
        <v>#N/A</v>
      </c>
      <c r="W36" s="449"/>
      <c r="X36" s="307"/>
      <c r="Y36" s="307"/>
      <c r="Z36" s="307"/>
      <c r="AA36" s="307"/>
      <c r="AB36" s="307"/>
      <c r="AC36" s="307"/>
      <c r="AD36" s="450"/>
      <c r="AE36" s="450"/>
      <c r="AF36" s="450"/>
      <c r="AH36" s="280" t="e">
        <f>IF(AND(T36&gt;16,P36&gt;=5500),"1",LOOKUP(T36,Y$5:AO$5,Y$6:AO$6))</f>
        <v>#N/A</v>
      </c>
      <c r="AI36" s="280" t="e">
        <f>LOOKUP(Q36,Y$8:AD$8,Y$9:AD$9)</f>
        <v>#N/A</v>
      </c>
      <c r="AJ36" s="404">
        <v>316</v>
      </c>
      <c r="AK36" s="231"/>
    </row>
    <row r="37" spans="1:50" s="280" customFormat="1" ht="13.2" customHeight="1" x14ac:dyDescent="0.35">
      <c r="A37" s="231"/>
      <c r="B37" s="404"/>
      <c r="C37" s="451" t="str">
        <f>VLOOKUP(B36,Уч!$A$2:$L$34,5,FALSE)</f>
        <v xml:space="preserve">Ставропольский край  </v>
      </c>
      <c r="D37" s="452" t="str">
        <f>VLOOKUP(B36,Уч!$A$2:$L$34,4,FALSE)</f>
        <v>КМС</v>
      </c>
      <c r="E37" s="509" t="s">
        <v>25</v>
      </c>
      <c r="F37" s="453">
        <f>VLOOKUP($B36,'100 м 1'!$C$18:$I$87,6,FALSE)</f>
        <v>0.8</v>
      </c>
      <c r="G37" s="454">
        <f>VLOOKUP($B36,'длина 2 '!$C$16:$O$54,12,FALSE)</f>
        <v>0</v>
      </c>
      <c r="H37" s="404"/>
      <c r="I37" s="454"/>
      <c r="J37" s="455"/>
      <c r="K37" s="454" t="e">
        <f>VLOOKUP($B36,'1cб_р'!$C$17:$I$67,6,FALSE)</f>
        <v>#N/A</v>
      </c>
      <c r="L37" s="454"/>
      <c r="M37" s="454"/>
      <c r="N37" s="404"/>
      <c r="O37" s="404"/>
      <c r="P37" s="448"/>
      <c r="Q37" s="456"/>
      <c r="R37" s="404" t="s">
        <v>245</v>
      </c>
      <c r="S37" s="404">
        <f>B36</f>
        <v>77</v>
      </c>
      <c r="T37" s="287" t="e">
        <f>$A36</f>
        <v>#N/A</v>
      </c>
      <c r="U37" s="287">
        <v>2</v>
      </c>
      <c r="V37" s="287" t="e">
        <f>$A36</f>
        <v>#N/A</v>
      </c>
      <c r="W37" s="449"/>
      <c r="X37" s="307"/>
      <c r="Y37" s="307"/>
      <c r="Z37" s="307"/>
      <c r="AA37" s="307"/>
      <c r="AB37" s="307"/>
      <c r="AC37" s="307"/>
      <c r="AD37" s="450"/>
      <c r="AE37" s="450"/>
      <c r="AF37" s="450"/>
      <c r="AH37" s="231"/>
      <c r="AI37" s="231"/>
      <c r="AJ37" s="404">
        <v>316</v>
      </c>
      <c r="AK37" s="231"/>
    </row>
    <row r="38" spans="1:50" s="280" customFormat="1" ht="13.2" customHeight="1" x14ac:dyDescent="0.35">
      <c r="A38" s="231"/>
      <c r="B38" s="404"/>
      <c r="C38" s="457" t="str">
        <f>VLOOKUP(B36,Уч!$A$2:$L$34,7,FALSE)</f>
        <v>ГБУ СК "СШОР по легкой атлетике", СУОР</v>
      </c>
      <c r="D38" s="452"/>
      <c r="E38" s="509" t="s">
        <v>29</v>
      </c>
      <c r="F38" s="458">
        <f>VLOOKUP($B36,'100 м 1'!$C$18:$I$87,7,FALSE)</f>
        <v>614</v>
      </c>
      <c r="G38" s="404">
        <f>VLOOKUP($B36,'длина 2 '!$C$16:$O$54,13,FALSE)</f>
        <v>0</v>
      </c>
      <c r="H38" s="404">
        <f>VLOOKUP($B36,'ядро 2'!$C$16:$K$60,9,FALSE)</f>
        <v>581</v>
      </c>
      <c r="I38" s="404">
        <f>VLOOKUP($B36,'высота 2'!$C$16:$AF$57,30,)</f>
        <v>0</v>
      </c>
      <c r="J38" s="459" t="e">
        <f>VLOOKUP($B36,'4_р'!$C$17:$H$73,6,FALSE)</f>
        <v>#N/A</v>
      </c>
      <c r="K38" s="404" t="e">
        <f>VLOOKUP($B36,'1cб_р'!$C$17:$I$67,7,FALSE)</f>
        <v>#N/A</v>
      </c>
      <c r="L38" s="404" t="e">
        <f>VLOOKUP($B36,Дс_р!$C$16:$K$70,9,FALSE)</f>
        <v>#N/A</v>
      </c>
      <c r="M38" s="404" t="e">
        <f>VLOOKUP($B36,Ш_р!$C$15:$AF$69,30,FALSE)</f>
        <v>#N/A</v>
      </c>
      <c r="N38" s="404" t="e">
        <f>VLOOKUP($B36,К_р!$C$15:$K$68,9,FALSE)</f>
        <v>#N/A</v>
      </c>
      <c r="O38" s="404" t="e">
        <f>VLOOKUP($B36,'15_р'!$C$17:$H$86,6,FALSE)</f>
        <v>#N/A</v>
      </c>
      <c r="P38" s="448"/>
      <c r="Q38" s="468"/>
      <c r="R38" s="372"/>
      <c r="S38" s="404">
        <f>B36</f>
        <v>77</v>
      </c>
      <c r="T38" s="287" t="e">
        <f>$A36</f>
        <v>#N/A</v>
      </c>
      <c r="U38" s="287">
        <v>3</v>
      </c>
      <c r="V38" s="287" t="e">
        <f>$A36</f>
        <v>#N/A</v>
      </c>
      <c r="W38" s="449"/>
      <c r="X38" s="307"/>
      <c r="Y38" s="307"/>
      <c r="Z38" s="307"/>
      <c r="AA38" s="307"/>
      <c r="AB38" s="307"/>
      <c r="AC38" s="307"/>
      <c r="AD38" s="450"/>
      <c r="AE38" s="450"/>
      <c r="AF38" s="450"/>
      <c r="AH38" s="231"/>
      <c r="AI38" s="231"/>
      <c r="AJ38" s="404">
        <v>316</v>
      </c>
      <c r="AK38" s="231"/>
    </row>
    <row r="39" spans="1:50" s="280" customFormat="1" ht="13.2" customHeight="1" x14ac:dyDescent="0.35">
      <c r="A39" s="231"/>
      <c r="B39" s="404"/>
      <c r="C39" s="451" t="str">
        <f>VLOOKUP(B36,Уч!$A$2:$L$34,11,FALSE)</f>
        <v>Мирошниченко В.И., Журавлева Т.В.</v>
      </c>
      <c r="D39" s="452"/>
      <c r="E39" s="509" t="s">
        <v>276</v>
      </c>
      <c r="F39" s="458">
        <f>F38</f>
        <v>614</v>
      </c>
      <c r="G39" s="404">
        <f>F39+G38</f>
        <v>614</v>
      </c>
      <c r="H39" s="404">
        <f>G39+H38</f>
        <v>1195</v>
      </c>
      <c r="I39" s="404">
        <f>H39+I38</f>
        <v>1195</v>
      </c>
      <c r="J39" s="459" t="e">
        <f>SUM($F38:J38)</f>
        <v>#N/A</v>
      </c>
      <c r="K39" s="404" t="e">
        <f>SUM($F38:$K38)</f>
        <v>#N/A</v>
      </c>
      <c r="L39" s="404" t="e">
        <f>K39+L38</f>
        <v>#N/A</v>
      </c>
      <c r="M39" s="404" t="e">
        <f>L39+M38</f>
        <v>#N/A</v>
      </c>
      <c r="N39" s="404" t="e">
        <f>SUM($F38:$N38)</f>
        <v>#N/A</v>
      </c>
      <c r="O39" s="404" t="e">
        <f>SUM($F38:$O38)</f>
        <v>#N/A</v>
      </c>
      <c r="P39" s="448"/>
      <c r="Q39" s="456"/>
      <c r="R39" s="372"/>
      <c r="S39" s="404">
        <f>B36</f>
        <v>77</v>
      </c>
      <c r="T39" s="287" t="e">
        <f>$A36</f>
        <v>#N/A</v>
      </c>
      <c r="U39" s="287">
        <v>4</v>
      </c>
      <c r="V39" s="287" t="e">
        <f>$A36</f>
        <v>#N/A</v>
      </c>
      <c r="W39" s="372">
        <f t="shared" ref="W39:AF39" si="4">F39</f>
        <v>614</v>
      </c>
      <c r="X39" s="372">
        <f t="shared" si="4"/>
        <v>614</v>
      </c>
      <c r="Y39" s="372">
        <f t="shared" si="4"/>
        <v>1195</v>
      </c>
      <c r="Z39" s="372">
        <f t="shared" si="4"/>
        <v>1195</v>
      </c>
      <c r="AA39" s="372" t="e">
        <f t="shared" si="4"/>
        <v>#N/A</v>
      </c>
      <c r="AB39" s="372" t="e">
        <f t="shared" si="4"/>
        <v>#N/A</v>
      </c>
      <c r="AC39" s="372" t="e">
        <f t="shared" si="4"/>
        <v>#N/A</v>
      </c>
      <c r="AD39" s="372" t="e">
        <f t="shared" si="4"/>
        <v>#N/A</v>
      </c>
      <c r="AE39" s="372" t="e">
        <f t="shared" si="4"/>
        <v>#N/A</v>
      </c>
      <c r="AF39" s="372" t="e">
        <f t="shared" si="4"/>
        <v>#N/A</v>
      </c>
      <c r="AH39" s="231"/>
      <c r="AI39" s="231"/>
      <c r="AJ39" s="404">
        <v>316</v>
      </c>
      <c r="AK39" s="231"/>
    </row>
    <row r="40" spans="1:50" s="280" customFormat="1" ht="13.2" customHeight="1" thickBot="1" x14ac:dyDescent="0.3">
      <c r="A40" s="460"/>
      <c r="B40" s="461"/>
      <c r="C40" s="462">
        <f>VLOOKUP(B36,Уч!$A$2:$L$34,12,FALSE)</f>
        <v>0</v>
      </c>
      <c r="D40" s="463"/>
      <c r="E40" s="510" t="s">
        <v>59</v>
      </c>
      <c r="F40" s="464" t="e">
        <f>RANK(F39,$W$19:$W$85,0)</f>
        <v>#N/A</v>
      </c>
      <c r="G40" s="461" t="e">
        <f>RANK(G39,$X$19:$X$85,0)</f>
        <v>#N/A</v>
      </c>
      <c r="H40" s="461" t="e">
        <f>RANK(H39,$Y$19:$Y$85,0)</f>
        <v>#N/A</v>
      </c>
      <c r="I40" s="461" t="e">
        <f>RANK(I39,$Z$19:$Z$85,0)</f>
        <v>#N/A</v>
      </c>
      <c r="J40" s="465" t="e">
        <f>RANK(J39,$AA$19:$AA$85,0)</f>
        <v>#N/A</v>
      </c>
      <c r="K40" s="461" t="e">
        <f>RANK(K39,$AB$19:$AB$85,0)</f>
        <v>#N/A</v>
      </c>
      <c r="L40" s="461" t="e">
        <f>RANK(L39,$AC$19:$AC$85,0)</f>
        <v>#N/A</v>
      </c>
      <c r="M40" s="461" t="e">
        <f>RANK(M39,$AD$19:$AD$85,0)</f>
        <v>#N/A</v>
      </c>
      <c r="N40" s="461" t="e">
        <f>RANK(N39,$AE$19:$AE$85,0)</f>
        <v>#N/A</v>
      </c>
      <c r="O40" s="461" t="e">
        <f>RANK(O39,$AF$19:$AF$85,0)</f>
        <v>#N/A</v>
      </c>
      <c r="P40" s="466"/>
      <c r="Q40" s="442"/>
      <c r="R40" s="442"/>
      <c r="S40" s="205">
        <f>B36</f>
        <v>77</v>
      </c>
      <c r="T40" s="287" t="e">
        <f>$A36</f>
        <v>#N/A</v>
      </c>
      <c r="U40" s="287">
        <v>5</v>
      </c>
      <c r="V40" s="287" t="e">
        <f>$A36</f>
        <v>#N/A</v>
      </c>
      <c r="W40" s="449"/>
      <c r="X40" s="307"/>
      <c r="Y40" s="307"/>
      <c r="Z40" s="307"/>
      <c r="AA40" s="307"/>
      <c r="AB40" s="307"/>
      <c r="AC40" s="307"/>
      <c r="AD40" s="450"/>
      <c r="AE40" s="450"/>
      <c r="AF40" s="450"/>
      <c r="AH40" s="231"/>
      <c r="AI40" s="231"/>
      <c r="AJ40" s="404">
        <v>316</v>
      </c>
      <c r="AK40" s="231"/>
    </row>
    <row r="41" spans="1:50" s="280" customFormat="1" ht="13.2" customHeight="1" thickTop="1" x14ac:dyDescent="0.35">
      <c r="A41" s="469" t="e">
        <f>RANK(P41,$P$16:$P$85,0)</f>
        <v>#N/A</v>
      </c>
      <c r="B41" s="404">
        <v>52</v>
      </c>
      <c r="C41" s="443" t="e">
        <f>VLOOKUP(B41,Уч!$A$2:$L$34,2,FALSE)</f>
        <v>#N/A</v>
      </c>
      <c r="D41" s="444" t="e">
        <f>VLOOKUP(B41,Уч!$A$2:$L$34,3,FALSE)</f>
        <v>#N/A</v>
      </c>
      <c r="E41" s="509" t="s">
        <v>19</v>
      </c>
      <c r="F41" s="445">
        <f>VLOOKUP($B41,'100 м 1'!$C$18:$I$87,5,FALSE)</f>
        <v>10.93</v>
      </c>
      <c r="G41" s="446" t="e">
        <f>VLOOKUP($B41,'длина 2 '!$C$16:$O$54,11,FALSE)</f>
        <v>#N/A</v>
      </c>
      <c r="H41" s="446" t="e">
        <f>VLOOKUP($B41,'ядро 2'!$C$16:$K$60,8,FALSE)</f>
        <v>#N/A</v>
      </c>
      <c r="I41" s="446" t="e">
        <f>VLOOKUP($B41,'высота 2'!$C$16:$AF$57,29,FALSE)</f>
        <v>#N/A</v>
      </c>
      <c r="J41" s="447">
        <f>VLOOKUP($B41,'4_р'!$C$17:$H$73,5,FALSE)</f>
        <v>0</v>
      </c>
      <c r="K41" s="446" t="e">
        <f>VLOOKUP($B41,'1cб_р'!$C$17:$I$67,5,FALSE)</f>
        <v>#N/A</v>
      </c>
      <c r="L41" s="446" t="e">
        <f>VLOOKUP($B41,Дс_р!$C$16:$K$70,8,FALSE)</f>
        <v>#N/A</v>
      </c>
      <c r="M41" s="446" t="e">
        <f>VLOOKUP($B41,Ш_р!$C$15:$AF$69,29,FALSE)</f>
        <v>#N/A</v>
      </c>
      <c r="N41" s="516" t="s">
        <v>96</v>
      </c>
      <c r="O41" s="404"/>
      <c r="P41" s="448" t="e">
        <f>SUM(F43:O43)</f>
        <v>#N/A</v>
      </c>
      <c r="Q41" s="469" t="e">
        <f>LOOKUP(P41,Y$1:AH$1,Y$2:AH$2)</f>
        <v>#N/A</v>
      </c>
      <c r="R41" s="404">
        <v>0</v>
      </c>
      <c r="S41" s="404">
        <f>B41</f>
        <v>52</v>
      </c>
      <c r="T41" s="287" t="e">
        <f>$A41</f>
        <v>#N/A</v>
      </c>
      <c r="U41" s="287">
        <v>1</v>
      </c>
      <c r="V41" s="287" t="e">
        <f>$A41</f>
        <v>#N/A</v>
      </c>
      <c r="W41" s="449"/>
      <c r="X41" s="307"/>
      <c r="Y41" s="307"/>
      <c r="Z41" s="307"/>
      <c r="AA41" s="307"/>
      <c r="AB41" s="307"/>
      <c r="AC41" s="307"/>
      <c r="AD41" s="450"/>
      <c r="AE41" s="450"/>
      <c r="AF41" s="450"/>
      <c r="AH41" s="280" t="e">
        <f>IF(AND(T41&gt;16,P41&gt;=5500),"1",LOOKUP(T41,Y$5:AO$5,Y$6:AO$6))</f>
        <v>#N/A</v>
      </c>
      <c r="AI41" s="280" t="e">
        <f>LOOKUP(Q41,Y$8:AD$8,Y$9:AD$9)</f>
        <v>#N/A</v>
      </c>
      <c r="AJ41" s="404">
        <v>101</v>
      </c>
      <c r="AK41" s="231"/>
    </row>
    <row r="42" spans="1:50" s="280" customFormat="1" ht="13.2" customHeight="1" x14ac:dyDescent="0.35">
      <c r="A42" s="469"/>
      <c r="B42" s="404"/>
      <c r="C42" s="451" t="e">
        <f>VLOOKUP(B41,Уч!$A$2:$L$34,5,FALSE)</f>
        <v>#N/A</v>
      </c>
      <c r="D42" s="452" t="e">
        <f>VLOOKUP(B41,Уч!$A$2:$L$34,4,FALSE)</f>
        <v>#N/A</v>
      </c>
      <c r="E42" s="509" t="s">
        <v>25</v>
      </c>
      <c r="F42" s="453">
        <f>VLOOKUP($B41,'100 м 1'!$C$18:$I$87,6,FALSE)</f>
        <v>1</v>
      </c>
      <c r="G42" s="454" t="e">
        <f>VLOOKUP($B41,'длина 2 '!$C$16:$O$54,12,FALSE)</f>
        <v>#N/A</v>
      </c>
      <c r="H42" s="404"/>
      <c r="I42" s="454"/>
      <c r="J42" s="455"/>
      <c r="K42" s="454" t="e">
        <f>VLOOKUP($B41,'1cб_р'!$C$17:$I$67,6,FALSE)</f>
        <v>#N/A</v>
      </c>
      <c r="L42" s="454"/>
      <c r="M42" s="454"/>
      <c r="N42" s="404"/>
      <c r="O42" s="404"/>
      <c r="P42" s="448"/>
      <c r="Q42" s="303"/>
      <c r="R42" s="473" t="e">
        <f>CONCATENATE(AH41,"+",AI41,"+",5)</f>
        <v>#N/A</v>
      </c>
      <c r="S42" s="404">
        <f>B41</f>
        <v>52</v>
      </c>
      <c r="T42" s="287" t="e">
        <f>$A41</f>
        <v>#N/A</v>
      </c>
      <c r="U42" s="287">
        <v>2</v>
      </c>
      <c r="V42" s="287" t="e">
        <f>$A41</f>
        <v>#N/A</v>
      </c>
      <c r="W42" s="449"/>
      <c r="X42" s="307"/>
      <c r="Y42" s="307"/>
      <c r="Z42" s="307"/>
      <c r="AA42" s="307"/>
      <c r="AB42" s="307"/>
      <c r="AC42" s="307"/>
      <c r="AD42" s="450"/>
      <c r="AE42" s="450"/>
      <c r="AF42" s="450"/>
      <c r="AH42" s="231"/>
      <c r="AI42" s="231"/>
      <c r="AJ42" s="404">
        <v>101</v>
      </c>
      <c r="AK42" s="231"/>
    </row>
    <row r="43" spans="1:50" s="280" customFormat="1" ht="13.2" customHeight="1" x14ac:dyDescent="0.35">
      <c r="A43" s="469"/>
      <c r="B43" s="404"/>
      <c r="C43" s="457" t="e">
        <f>VLOOKUP(B41,Уч!$A$2:$L$34,7,FALSE)</f>
        <v>#N/A</v>
      </c>
      <c r="D43" s="452"/>
      <c r="E43" s="509" t="s">
        <v>29</v>
      </c>
      <c r="F43" s="458">
        <f>VLOOKUP($B41,'100 м 1'!$C$18:$I$87,7,FALSE)</f>
        <v>876</v>
      </c>
      <c r="G43" s="404" t="e">
        <f>VLOOKUP($B41,'длина 2 '!$C$16:$O$54,13,FALSE)</f>
        <v>#N/A</v>
      </c>
      <c r="H43" s="404" t="e">
        <f>VLOOKUP($B41,'ядро 2'!$C$16:$K$60,9,FALSE)</f>
        <v>#N/A</v>
      </c>
      <c r="I43" s="404" t="e">
        <f>VLOOKUP($B41,'высота 2'!$C$16:$AF$57,30,)</f>
        <v>#N/A</v>
      </c>
      <c r="J43" s="459">
        <f>VLOOKUP($B41,'4_р'!$C$17:$H$73,6,FALSE)</f>
        <v>0</v>
      </c>
      <c r="K43" s="404" t="e">
        <f>VLOOKUP($B41,'1cб_р'!$C$17:$I$67,7,FALSE)</f>
        <v>#N/A</v>
      </c>
      <c r="L43" s="404" t="e">
        <f>VLOOKUP($B41,Дс_р!$C$16:$K$70,9,FALSE)</f>
        <v>#N/A</v>
      </c>
      <c r="M43" s="404" t="e">
        <f>VLOOKUP($B41,Ш_р!$C$15:$AF$69,30,FALSE)</f>
        <v>#N/A</v>
      </c>
      <c r="N43" s="404"/>
      <c r="O43" s="404"/>
      <c r="P43" s="448"/>
      <c r="Q43" s="493"/>
      <c r="R43" s="372"/>
      <c r="S43" s="404">
        <f>B41</f>
        <v>52</v>
      </c>
      <c r="T43" s="287" t="e">
        <f>$A41</f>
        <v>#N/A</v>
      </c>
      <c r="U43" s="287">
        <v>3</v>
      </c>
      <c r="V43" s="287" t="e">
        <f>$A41</f>
        <v>#N/A</v>
      </c>
      <c r="W43" s="449"/>
      <c r="X43" s="307"/>
      <c r="Y43" s="307"/>
      <c r="Z43" s="307"/>
      <c r="AA43" s="307"/>
      <c r="AB43" s="307"/>
      <c r="AC43" s="307"/>
      <c r="AD43" s="450"/>
      <c r="AE43" s="450"/>
      <c r="AF43" s="450"/>
      <c r="AH43" s="231"/>
      <c r="AI43" s="231"/>
      <c r="AJ43" s="404">
        <v>101</v>
      </c>
      <c r="AK43" s="231"/>
    </row>
    <row r="44" spans="1:50" s="280" customFormat="1" ht="13.2" customHeight="1" x14ac:dyDescent="0.35">
      <c r="A44" s="469"/>
      <c r="B44" s="404"/>
      <c r="C44" s="451" t="e">
        <f>VLOOKUP(B41,Уч!$A$2:$L$34,11,FALSE)</f>
        <v>#N/A</v>
      </c>
      <c r="D44" s="452"/>
      <c r="E44" s="509" t="s">
        <v>276</v>
      </c>
      <c r="F44" s="458">
        <f>F43</f>
        <v>876</v>
      </c>
      <c r="G44" s="404" t="e">
        <f>F44+G43</f>
        <v>#N/A</v>
      </c>
      <c r="H44" s="404" t="e">
        <f>G44+H43</f>
        <v>#N/A</v>
      </c>
      <c r="I44" s="404" t="e">
        <f>H44+I43</f>
        <v>#N/A</v>
      </c>
      <c r="J44" s="459" t="e">
        <f>SUM($F43:J43)</f>
        <v>#N/A</v>
      </c>
      <c r="K44" s="404" t="e">
        <f>SUM($F43:$K43)</f>
        <v>#N/A</v>
      </c>
      <c r="L44" s="404" t="e">
        <f>K44+L43</f>
        <v>#N/A</v>
      </c>
      <c r="M44" s="404" t="e">
        <f>L44+M43</f>
        <v>#N/A</v>
      </c>
      <c r="N44" s="404"/>
      <c r="O44" s="404"/>
      <c r="P44" s="448"/>
      <c r="Q44" s="493"/>
      <c r="R44" s="372"/>
      <c r="S44" s="404">
        <f>B41</f>
        <v>52</v>
      </c>
      <c r="T44" s="287" t="e">
        <f>$A41</f>
        <v>#N/A</v>
      </c>
      <c r="U44" s="287">
        <v>4</v>
      </c>
      <c r="V44" s="287" t="e">
        <f>$A41</f>
        <v>#N/A</v>
      </c>
      <c r="W44" s="372">
        <f t="shared" ref="W44:AF44" si="5">F44</f>
        <v>876</v>
      </c>
      <c r="X44" s="372" t="e">
        <f t="shared" si="5"/>
        <v>#N/A</v>
      </c>
      <c r="Y44" s="372" t="e">
        <f t="shared" si="5"/>
        <v>#N/A</v>
      </c>
      <c r="Z44" s="372" t="e">
        <f t="shared" si="5"/>
        <v>#N/A</v>
      </c>
      <c r="AA44" s="372" t="e">
        <f t="shared" si="5"/>
        <v>#N/A</v>
      </c>
      <c r="AB44" s="372" t="e">
        <f t="shared" si="5"/>
        <v>#N/A</v>
      </c>
      <c r="AC44" s="372" t="e">
        <f t="shared" si="5"/>
        <v>#N/A</v>
      </c>
      <c r="AD44" s="372" t="e">
        <f t="shared" si="5"/>
        <v>#N/A</v>
      </c>
      <c r="AE44" s="372">
        <f t="shared" si="5"/>
        <v>0</v>
      </c>
      <c r="AF44" s="372">
        <f t="shared" si="5"/>
        <v>0</v>
      </c>
      <c r="AH44" s="231"/>
      <c r="AI44" s="231"/>
      <c r="AJ44" s="404">
        <v>101</v>
      </c>
      <c r="AK44" s="231"/>
    </row>
    <row r="45" spans="1:50" s="280" customFormat="1" ht="13.2" customHeight="1" thickBot="1" x14ac:dyDescent="0.3">
      <c r="A45" s="514"/>
      <c r="B45" s="461"/>
      <c r="C45" s="462" t="e">
        <f>VLOOKUP(B41,Уч!$A$2:$L$34,12,FALSE)</f>
        <v>#N/A</v>
      </c>
      <c r="D45" s="463"/>
      <c r="E45" s="510" t="s">
        <v>59</v>
      </c>
      <c r="F45" s="464" t="e">
        <f>RANK(F44,$W$19:$W$85,0)</f>
        <v>#N/A</v>
      </c>
      <c r="G45" s="461" t="e">
        <f>RANK(G44,$X$19:$X$85,0)</f>
        <v>#N/A</v>
      </c>
      <c r="H45" s="461" t="e">
        <f>RANK(H44,$Y$19:$Y$85,0)</f>
        <v>#N/A</v>
      </c>
      <c r="I45" s="461" t="e">
        <f>RANK(I44,$Z$19:$Z$85,0)</f>
        <v>#N/A</v>
      </c>
      <c r="J45" s="465" t="e">
        <f>RANK(J44,$AA$19:$AA$85,0)</f>
        <v>#N/A</v>
      </c>
      <c r="K45" s="461" t="e">
        <f>RANK(K44,$AB$19:$AB$85,0)</f>
        <v>#N/A</v>
      </c>
      <c r="L45" s="461" t="e">
        <f>RANK(L44,$AC$19:$AC$85,0)</f>
        <v>#N/A</v>
      </c>
      <c r="M45" s="461" t="e">
        <f>RANK(M44,$AD$19:$AD$85,0)</f>
        <v>#N/A</v>
      </c>
      <c r="N45" s="461"/>
      <c r="O45" s="461"/>
      <c r="P45" s="466"/>
      <c r="Q45" s="495"/>
      <c r="R45" s="442"/>
      <c r="S45" s="205">
        <f>B41</f>
        <v>52</v>
      </c>
      <c r="T45" s="287" t="e">
        <f>$A41</f>
        <v>#N/A</v>
      </c>
      <c r="U45" s="287">
        <v>5</v>
      </c>
      <c r="V45" s="287" t="e">
        <f>$A41</f>
        <v>#N/A</v>
      </c>
      <c r="W45" s="449"/>
      <c r="X45" s="307"/>
      <c r="Y45" s="307"/>
      <c r="Z45" s="307"/>
      <c r="AA45" s="307"/>
      <c r="AB45" s="307"/>
      <c r="AC45" s="307"/>
      <c r="AD45" s="450"/>
      <c r="AE45" s="450"/>
      <c r="AF45" s="450"/>
      <c r="AH45" s="231"/>
      <c r="AI45" s="231"/>
      <c r="AJ45" s="404">
        <v>101</v>
      </c>
      <c r="AK45" s="231"/>
    </row>
    <row r="46" spans="1:50" s="280" customFormat="1" ht="13.2" customHeight="1" thickTop="1" x14ac:dyDescent="0.35">
      <c r="A46" s="517" t="e">
        <f>RANK(P46,$P$16:$P$85,0)</f>
        <v>#N/A</v>
      </c>
      <c r="B46" s="404">
        <v>57</v>
      </c>
      <c r="C46" s="443" t="e">
        <f>VLOOKUP(B46,Уч!$A$2:$L$34,2,FALSE)</f>
        <v>#N/A</v>
      </c>
      <c r="D46" s="444" t="e">
        <f>VLOOKUP(B46,Уч!$A$2:$L$34,3,FALSE)</f>
        <v>#N/A</v>
      </c>
      <c r="E46" s="509" t="s">
        <v>19</v>
      </c>
      <c r="F46" s="445" t="e">
        <f>VLOOKUP($B46,'100 м 1'!$C$18:$I$87,5,FALSE)</f>
        <v>#N/A</v>
      </c>
      <c r="G46" s="446" t="e">
        <f>VLOOKUP($B46,'длина 2 '!$C$16:$O$54,11,FALSE)</f>
        <v>#N/A</v>
      </c>
      <c r="H46" s="446" t="e">
        <f>VLOOKUP($B46,'ядро 2'!$C$16:$K$60,8,FALSE)</f>
        <v>#N/A</v>
      </c>
      <c r="I46" s="446" t="e">
        <f>VLOOKUP($B46,'высота 2'!$C$16:$AF$57,29,FALSE)</f>
        <v>#N/A</v>
      </c>
      <c r="J46" s="447" t="e">
        <f>VLOOKUP($B46,'4_р'!$C$17:$H$73,5,FALSE)</f>
        <v>#N/A</v>
      </c>
      <c r="K46" s="446" t="e">
        <f>VLOOKUP($B46,'1cб_р'!$C$17:$I$67,5,FALSE)</f>
        <v>#N/A</v>
      </c>
      <c r="L46" s="446" t="e">
        <f>VLOOKUP($B46,Дс_р!$C$16:$K$70,8,FALSE)</f>
        <v>#N/A</v>
      </c>
      <c r="M46" s="446" t="e">
        <f>VLOOKUP($B46,Ш_р!$C$15:$AF$69,29,FALSE)</f>
        <v>#N/A</v>
      </c>
      <c r="N46" s="446"/>
      <c r="O46" s="404"/>
      <c r="P46" s="491" t="e">
        <f>SUM(F48:O48)</f>
        <v>#N/A</v>
      </c>
      <c r="Q46" s="469" t="e">
        <f>LOOKUP(P46,Y$1:AH$1,Y$2:AH$2)</f>
        <v>#N/A</v>
      </c>
      <c r="R46" s="404">
        <v>0</v>
      </c>
      <c r="S46" s="404">
        <f>B46</f>
        <v>57</v>
      </c>
      <c r="T46" s="287" t="e">
        <f>$A46</f>
        <v>#N/A</v>
      </c>
      <c r="U46" s="287">
        <v>1</v>
      </c>
      <c r="V46" s="287" t="e">
        <f>$A46</f>
        <v>#N/A</v>
      </c>
      <c r="W46" s="449"/>
      <c r="X46" s="307"/>
      <c r="Y46" s="307"/>
      <c r="Z46" s="307"/>
      <c r="AA46" s="307"/>
      <c r="AB46" s="307"/>
      <c r="AC46" s="307"/>
      <c r="AD46" s="450"/>
      <c r="AE46" s="450"/>
      <c r="AF46" s="450"/>
      <c r="AH46" s="280" t="e">
        <f>IF(AND(T46&gt;16,P46&gt;=5500),"1",LOOKUP(T46,Y$5:AO$5,Y$6:AO$6))</f>
        <v>#N/A</v>
      </c>
      <c r="AI46" s="280" t="e">
        <f>LOOKUP(Q46,Y$8:AD$8,Y$9:AD$9)</f>
        <v>#N/A</v>
      </c>
      <c r="AJ46" s="404">
        <v>96</v>
      </c>
    </row>
    <row r="47" spans="1:50" s="280" customFormat="1" ht="13.2" customHeight="1" x14ac:dyDescent="0.35">
      <c r="A47" s="469"/>
      <c r="B47" s="404"/>
      <c r="C47" s="451" t="e">
        <f>VLOOKUP(B46,Уч!$A$2:$L$34,5,FALSE)</f>
        <v>#N/A</v>
      </c>
      <c r="D47" s="444" t="e">
        <f>VLOOKUP(B46,Уч!$A$2:$L$34,4,FALSE)</f>
        <v>#N/A</v>
      </c>
      <c r="E47" s="509" t="s">
        <v>25</v>
      </c>
      <c r="F47" s="453" t="e">
        <f>VLOOKUP($B46,'100 м 1'!$C$18:$I$87,6,FALSE)</f>
        <v>#N/A</v>
      </c>
      <c r="G47" s="454" t="e">
        <f>VLOOKUP($B46,'длина 2 '!$C$16:$O$54,12,FALSE)</f>
        <v>#N/A</v>
      </c>
      <c r="H47" s="404"/>
      <c r="I47" s="454"/>
      <c r="J47" s="455"/>
      <c r="K47" s="454" t="e">
        <f>VLOOKUP($B46,'1cб_р'!$C$17:$I$67,6,FALSE)</f>
        <v>#N/A</v>
      </c>
      <c r="L47" s="454"/>
      <c r="M47" s="454"/>
      <c r="N47" s="404"/>
      <c r="O47" s="404"/>
      <c r="P47" s="448"/>
      <c r="Q47" s="303"/>
      <c r="R47" s="473" t="e">
        <f>CONCATENATE(AH46,"+",AI46,"+",5)</f>
        <v>#N/A</v>
      </c>
      <c r="S47" s="404">
        <f>B46</f>
        <v>57</v>
      </c>
      <c r="T47" s="287" t="e">
        <f>$A46</f>
        <v>#N/A</v>
      </c>
      <c r="U47" s="287">
        <v>2</v>
      </c>
      <c r="V47" s="287" t="e">
        <f>$A46</f>
        <v>#N/A</v>
      </c>
      <c r="W47" s="449"/>
      <c r="X47" s="307"/>
      <c r="Y47" s="307"/>
      <c r="Z47" s="307"/>
      <c r="AA47" s="307"/>
      <c r="AB47" s="307"/>
      <c r="AC47" s="307"/>
      <c r="AD47" s="450"/>
      <c r="AE47" s="450"/>
      <c r="AF47" s="450"/>
      <c r="AH47" s="231"/>
      <c r="AI47" s="231"/>
      <c r="AJ47" s="404">
        <v>96</v>
      </c>
      <c r="AK47" s="231"/>
    </row>
    <row r="48" spans="1:50" s="280" customFormat="1" ht="13.2" customHeight="1" x14ac:dyDescent="0.35">
      <c r="A48" s="469"/>
      <c r="B48" s="404"/>
      <c r="C48" s="457" t="e">
        <f>VLOOKUP(B46,Уч!$A$2:$L$34,7,FALSE)</f>
        <v>#N/A</v>
      </c>
      <c r="D48" s="444"/>
      <c r="E48" s="509" t="s">
        <v>29</v>
      </c>
      <c r="F48" s="458" t="e">
        <f>VLOOKUP($B46,'100 м 1'!$C$18:$I$87,7,FALSE)</f>
        <v>#N/A</v>
      </c>
      <c r="G48" s="404" t="e">
        <f>VLOOKUP($B46,'длина 2 '!$C$16:$O$54,13,FALSE)</f>
        <v>#N/A</v>
      </c>
      <c r="H48" s="404" t="e">
        <f>VLOOKUP($B46,'ядро 2'!$C$16:$K$60,9,FALSE)</f>
        <v>#N/A</v>
      </c>
      <c r="I48" s="404" t="e">
        <f>VLOOKUP($B46,'высота 2'!$C$16:$AF$57,30,)</f>
        <v>#N/A</v>
      </c>
      <c r="J48" s="459" t="e">
        <f>VLOOKUP($B46,'4_р'!$C$17:$H$73,6,FALSE)</f>
        <v>#N/A</v>
      </c>
      <c r="K48" s="404" t="e">
        <f>VLOOKUP($B46,'1cб_р'!$C$17:$I$67,7,FALSE)</f>
        <v>#N/A</v>
      </c>
      <c r="L48" s="404" t="e">
        <f>VLOOKUP($B46,Дс_р!$C$16:$K$70,9,FALSE)</f>
        <v>#N/A</v>
      </c>
      <c r="M48" s="404" t="e">
        <f>VLOOKUP($B46,Ш_р!$C$15:$AF$69,30,FALSE)</f>
        <v>#N/A</v>
      </c>
      <c r="N48" s="404"/>
      <c r="O48" s="404"/>
      <c r="P48" s="448"/>
      <c r="Q48" s="303"/>
      <c r="R48" s="372"/>
      <c r="S48" s="404">
        <f>B46</f>
        <v>57</v>
      </c>
      <c r="T48" s="287" t="e">
        <f>$A46</f>
        <v>#N/A</v>
      </c>
      <c r="U48" s="287">
        <v>3</v>
      </c>
      <c r="V48" s="287" t="e">
        <f>$A46</f>
        <v>#N/A</v>
      </c>
      <c r="W48" s="449"/>
      <c r="X48" s="307"/>
      <c r="Y48" s="307"/>
      <c r="Z48" s="307"/>
      <c r="AA48" s="307"/>
      <c r="AB48" s="307"/>
      <c r="AC48" s="307"/>
      <c r="AD48" s="450"/>
      <c r="AE48" s="450"/>
      <c r="AF48" s="450"/>
      <c r="AH48" s="231"/>
      <c r="AI48" s="231"/>
      <c r="AJ48" s="404">
        <v>96</v>
      </c>
      <c r="AK48" s="231"/>
    </row>
    <row r="49" spans="1:37" s="280" customFormat="1" ht="13.2" customHeight="1" x14ac:dyDescent="0.35">
      <c r="A49" s="469"/>
      <c r="B49" s="404"/>
      <c r="C49" s="451" t="e">
        <f>VLOOKUP(B46,Уч!$A$2:$L$34,11,FALSE)</f>
        <v>#N/A</v>
      </c>
      <c r="D49" s="444"/>
      <c r="E49" s="509" t="s">
        <v>276</v>
      </c>
      <c r="F49" s="458" t="e">
        <f>F48</f>
        <v>#N/A</v>
      </c>
      <c r="G49" s="404" t="e">
        <f>F49+G48</f>
        <v>#N/A</v>
      </c>
      <c r="H49" s="404" t="e">
        <f>G49+H48</f>
        <v>#N/A</v>
      </c>
      <c r="I49" s="404" t="e">
        <f>H49+I48</f>
        <v>#N/A</v>
      </c>
      <c r="J49" s="459" t="e">
        <f>SUM($F48:J48)</f>
        <v>#N/A</v>
      </c>
      <c r="K49" s="404" t="e">
        <f>SUM($F48:$K48)</f>
        <v>#N/A</v>
      </c>
      <c r="L49" s="404" t="e">
        <f>K49+L48</f>
        <v>#N/A</v>
      </c>
      <c r="M49" s="404" t="e">
        <f>L49+M48</f>
        <v>#N/A</v>
      </c>
      <c r="N49" s="404"/>
      <c r="O49" s="404"/>
      <c r="P49" s="448"/>
      <c r="Q49" s="303"/>
      <c r="R49" s="372"/>
      <c r="S49" s="404">
        <f>B46</f>
        <v>57</v>
      </c>
      <c r="T49" s="287" t="e">
        <f>$A46</f>
        <v>#N/A</v>
      </c>
      <c r="U49" s="287">
        <v>4</v>
      </c>
      <c r="V49" s="287" t="e">
        <f>$A46</f>
        <v>#N/A</v>
      </c>
      <c r="W49" s="372" t="e">
        <f t="shared" ref="W49:AF49" si="6">F49</f>
        <v>#N/A</v>
      </c>
      <c r="X49" s="372" t="e">
        <f t="shared" si="6"/>
        <v>#N/A</v>
      </c>
      <c r="Y49" s="372" t="e">
        <f t="shared" si="6"/>
        <v>#N/A</v>
      </c>
      <c r="Z49" s="372" t="e">
        <f t="shared" si="6"/>
        <v>#N/A</v>
      </c>
      <c r="AA49" s="372" t="e">
        <f t="shared" si="6"/>
        <v>#N/A</v>
      </c>
      <c r="AB49" s="372" t="e">
        <f t="shared" si="6"/>
        <v>#N/A</v>
      </c>
      <c r="AC49" s="372" t="e">
        <f t="shared" si="6"/>
        <v>#N/A</v>
      </c>
      <c r="AD49" s="372" t="e">
        <f t="shared" si="6"/>
        <v>#N/A</v>
      </c>
      <c r="AE49" s="372">
        <f t="shared" si="6"/>
        <v>0</v>
      </c>
      <c r="AF49" s="372">
        <f t="shared" si="6"/>
        <v>0</v>
      </c>
      <c r="AH49" s="231"/>
      <c r="AI49" s="231"/>
      <c r="AJ49" s="404">
        <v>96</v>
      </c>
      <c r="AK49" s="231"/>
    </row>
    <row r="50" spans="1:37" s="280" customFormat="1" ht="13.2" customHeight="1" thickBot="1" x14ac:dyDescent="0.3">
      <c r="A50" s="514"/>
      <c r="B50" s="461"/>
      <c r="C50" s="462" t="e">
        <f>VLOOKUP(B46,Уч!$A$2:$L$34,12,FALSE)</f>
        <v>#N/A</v>
      </c>
      <c r="D50" s="467"/>
      <c r="E50" s="510" t="s">
        <v>59</v>
      </c>
      <c r="F50" s="464" t="e">
        <f>RANK(F49,$W$19:$W$85,0)</f>
        <v>#N/A</v>
      </c>
      <c r="G50" s="461" t="e">
        <f>RANK(G49,$X$19:$X$85,0)</f>
        <v>#N/A</v>
      </c>
      <c r="H50" s="461" t="e">
        <f>RANK(H49,$Y$19:$Y$85,0)</f>
        <v>#N/A</v>
      </c>
      <c r="I50" s="461" t="e">
        <f>RANK(I49,$Z$19:$Z$85,0)</f>
        <v>#N/A</v>
      </c>
      <c r="J50" s="465" t="e">
        <f>RANK(J49,$AA$19:$AA$85,0)</f>
        <v>#N/A</v>
      </c>
      <c r="K50" s="461" t="e">
        <f>RANK(K49,$AB$19:$AB$85,0)</f>
        <v>#N/A</v>
      </c>
      <c r="L50" s="461" t="e">
        <f>RANK(L49,$AC$19:$AC$85,0)</f>
        <v>#N/A</v>
      </c>
      <c r="M50" s="461" t="e">
        <f>RANK(M49,$AD$19:$AD$85,0)</f>
        <v>#N/A</v>
      </c>
      <c r="N50" s="461"/>
      <c r="O50" s="461"/>
      <c r="P50" s="466"/>
      <c r="Q50" s="495"/>
      <c r="R50" s="442"/>
      <c r="S50" s="205">
        <f>B46</f>
        <v>57</v>
      </c>
      <c r="T50" s="287" t="e">
        <f>$A46</f>
        <v>#N/A</v>
      </c>
      <c r="U50" s="287">
        <v>5</v>
      </c>
      <c r="V50" s="287" t="e">
        <f>$A46</f>
        <v>#N/A</v>
      </c>
      <c r="W50" s="449"/>
      <c r="X50" s="307"/>
      <c r="Y50" s="307"/>
      <c r="Z50" s="307"/>
      <c r="AA50" s="307"/>
      <c r="AB50" s="307"/>
      <c r="AC50" s="307"/>
      <c r="AD50" s="450"/>
      <c r="AE50" s="450"/>
      <c r="AF50" s="450"/>
      <c r="AH50" s="231"/>
      <c r="AI50" s="231"/>
      <c r="AJ50" s="404">
        <v>96</v>
      </c>
      <c r="AK50" s="231"/>
    </row>
    <row r="51" spans="1:37" s="280" customFormat="1" ht="13.2" customHeight="1" thickTop="1" x14ac:dyDescent="0.35">
      <c r="A51" s="469" t="e">
        <f>RANK(P51,$P$16:$P$85,0)</f>
        <v>#N/A</v>
      </c>
      <c r="B51" s="404">
        <v>32</v>
      </c>
      <c r="C51" s="443" t="e">
        <f>VLOOKUP(B51,Уч!$A$2:$L$34,2,FALSE)</f>
        <v>#N/A</v>
      </c>
      <c r="D51" s="444" t="e">
        <f>VLOOKUP(B51,Уч!$A$2:$L$34,3,FALSE)</f>
        <v>#N/A</v>
      </c>
      <c r="E51" s="509" t="s">
        <v>19</v>
      </c>
      <c r="F51" s="445">
        <f>VLOOKUP($B51,'100 м 1'!$C$18:$I$87,5,FALSE)</f>
        <v>11.15</v>
      </c>
      <c r="G51" s="446" t="e">
        <f>VLOOKUP($B51,'длина 2 '!$C$16:$O$54,11,FALSE)</f>
        <v>#N/A</v>
      </c>
      <c r="H51" s="446" t="e">
        <f>VLOOKUP($B51,'ядро 2'!$C$16:$K$60,8,FALSE)</f>
        <v>#N/A</v>
      </c>
      <c r="I51" s="446" t="e">
        <f>VLOOKUP($B51,'высота 2'!$C$16:$AF$57,29,FALSE)</f>
        <v>#N/A</v>
      </c>
      <c r="J51" s="447">
        <f>VLOOKUP($B51,'4_р'!$C$17:$H$73,5,FALSE)</f>
        <v>0</v>
      </c>
      <c r="K51" s="446" t="e">
        <f>VLOOKUP($B51,'1cб_р'!$C$17:$I$67,5,FALSE)</f>
        <v>#N/A</v>
      </c>
      <c r="L51" s="446" t="e">
        <f>VLOOKUP($B51,Дс_р!$C$16:$K$70,8,FALSE)</f>
        <v>#N/A</v>
      </c>
      <c r="M51" s="446"/>
      <c r="N51" s="446"/>
      <c r="O51" s="404"/>
      <c r="P51" s="448" t="e">
        <f>SUM(F53:O53)</f>
        <v>#N/A</v>
      </c>
      <c r="Q51" s="469" t="e">
        <f>LOOKUP(P51,Y$1:AH$1,Y$2:AH$2)</f>
        <v>#N/A</v>
      </c>
      <c r="R51" s="404">
        <v>0</v>
      </c>
      <c r="S51" s="404">
        <f>B51</f>
        <v>32</v>
      </c>
      <c r="T51" s="287" t="e">
        <f>$A51</f>
        <v>#N/A</v>
      </c>
      <c r="U51" s="287">
        <v>1</v>
      </c>
      <c r="V51" s="287" t="e">
        <f>$A51</f>
        <v>#N/A</v>
      </c>
      <c r="W51" s="449"/>
      <c r="X51" s="307"/>
      <c r="Y51" s="307"/>
      <c r="Z51" s="307"/>
      <c r="AA51" s="307"/>
      <c r="AB51" s="307"/>
      <c r="AC51" s="307"/>
      <c r="AD51" s="450"/>
      <c r="AE51" s="450"/>
      <c r="AF51" s="450"/>
      <c r="AH51" s="280" t="e">
        <f>IF(AND(T51&gt;16,P51&gt;=5500),"1",LOOKUP(T51,Y$5:AO$5,Y$6:AO$6))</f>
        <v>#N/A</v>
      </c>
      <c r="AI51" s="280" t="e">
        <f>LOOKUP(Q51,Y$8:AD$8,Y$9:AD$9)</f>
        <v>#N/A</v>
      </c>
      <c r="AJ51" s="404">
        <v>505</v>
      </c>
      <c r="AK51" s="231"/>
    </row>
    <row r="52" spans="1:37" s="280" customFormat="1" ht="13.2" customHeight="1" x14ac:dyDescent="0.35">
      <c r="A52" s="469"/>
      <c r="B52" s="404"/>
      <c r="C52" s="451" t="e">
        <f>VLOOKUP(B51,Уч!$A$2:$L$34,5,FALSE)</f>
        <v>#N/A</v>
      </c>
      <c r="D52" s="444" t="e">
        <f>VLOOKUP(B51,Уч!$A$2:$L$34,4,FALSE)</f>
        <v>#N/A</v>
      </c>
      <c r="E52" s="509" t="s">
        <v>25</v>
      </c>
      <c r="F52" s="453">
        <f>VLOOKUP($B51,'100 м 1'!$C$18:$I$87,6,FALSE)</f>
        <v>1</v>
      </c>
      <c r="G52" s="454" t="e">
        <f>VLOOKUP($B51,'длина 2 '!$C$16:$O$54,12,FALSE)</f>
        <v>#N/A</v>
      </c>
      <c r="H52" s="404"/>
      <c r="I52" s="454"/>
      <c r="J52" s="455"/>
      <c r="K52" s="454" t="e">
        <f>VLOOKUP($B51,'1cб_р'!$C$17:$I$67,6,FALSE)</f>
        <v>#N/A</v>
      </c>
      <c r="L52" s="454"/>
      <c r="M52" s="454"/>
      <c r="N52" s="404"/>
      <c r="O52" s="404"/>
      <c r="P52" s="448"/>
      <c r="Q52" s="303"/>
      <c r="R52" s="473" t="e">
        <f>CONCATENATE(AH51,"+",AI51,"+",5)</f>
        <v>#N/A</v>
      </c>
      <c r="S52" s="404">
        <f>B51</f>
        <v>32</v>
      </c>
      <c r="T52" s="287" t="e">
        <f>$A51</f>
        <v>#N/A</v>
      </c>
      <c r="U52" s="287">
        <v>2</v>
      </c>
      <c r="V52" s="287" t="e">
        <f>$A51</f>
        <v>#N/A</v>
      </c>
      <c r="W52" s="449"/>
      <c r="X52" s="307"/>
      <c r="Y52" s="307"/>
      <c r="Z52" s="307"/>
      <c r="AA52" s="307"/>
      <c r="AB52" s="307"/>
      <c r="AC52" s="307"/>
      <c r="AD52" s="450"/>
      <c r="AE52" s="450"/>
      <c r="AF52" s="450"/>
      <c r="AH52" s="231"/>
      <c r="AI52" s="231"/>
      <c r="AJ52" s="404">
        <v>505</v>
      </c>
      <c r="AK52" s="231"/>
    </row>
    <row r="53" spans="1:37" s="280" customFormat="1" ht="13.2" customHeight="1" x14ac:dyDescent="0.35">
      <c r="A53" s="469"/>
      <c r="B53" s="404"/>
      <c r="C53" s="457" t="e">
        <f>VLOOKUP(B51,Уч!$A$2:$L$34,7,FALSE)</f>
        <v>#N/A</v>
      </c>
      <c r="D53" s="444"/>
      <c r="E53" s="509" t="s">
        <v>29</v>
      </c>
      <c r="F53" s="458">
        <f>VLOOKUP($B51,'100 м 1'!$C$18:$I$87,7,FALSE)</f>
        <v>827</v>
      </c>
      <c r="G53" s="404" t="e">
        <f>VLOOKUP($B51,'длина 2 '!$C$16:$O$54,13,FALSE)</f>
        <v>#N/A</v>
      </c>
      <c r="H53" s="404" t="e">
        <f>VLOOKUP($B51,'ядро 2'!$C$16:$K$60,9,FALSE)</f>
        <v>#N/A</v>
      </c>
      <c r="I53" s="404" t="e">
        <f>VLOOKUP($B51,'высота 2'!$C$16:$AF$57,30,)</f>
        <v>#N/A</v>
      </c>
      <c r="J53" s="459">
        <f>VLOOKUP($B51,'4_р'!$C$17:$H$73,6,FALSE)</f>
        <v>0</v>
      </c>
      <c r="K53" s="404" t="e">
        <f>VLOOKUP($B51,'1cб_р'!$C$17:$I$67,7,FALSE)</f>
        <v>#N/A</v>
      </c>
      <c r="L53" s="404" t="e">
        <f>VLOOKUP($B51,Дс_р!$C$16:$K$70,9,FALSE)</f>
        <v>#N/A</v>
      </c>
      <c r="M53" s="404"/>
      <c r="N53" s="404"/>
      <c r="O53" s="404"/>
      <c r="P53" s="448"/>
      <c r="Q53" s="306"/>
      <c r="R53" s="372"/>
      <c r="S53" s="404">
        <f>B51</f>
        <v>32</v>
      </c>
      <c r="T53" s="287" t="e">
        <f>$A51</f>
        <v>#N/A</v>
      </c>
      <c r="U53" s="287">
        <v>3</v>
      </c>
      <c r="V53" s="287" t="e">
        <f>$A51</f>
        <v>#N/A</v>
      </c>
      <c r="W53" s="449"/>
      <c r="X53" s="307"/>
      <c r="Y53" s="307"/>
      <c r="Z53" s="307"/>
      <c r="AA53" s="307"/>
      <c r="AB53" s="307"/>
      <c r="AC53" s="307"/>
      <c r="AD53" s="450"/>
      <c r="AE53" s="450"/>
      <c r="AF53" s="450"/>
      <c r="AH53" s="231"/>
      <c r="AI53" s="231"/>
      <c r="AJ53" s="404">
        <v>505</v>
      </c>
      <c r="AK53" s="231"/>
    </row>
    <row r="54" spans="1:37" s="280" customFormat="1" ht="13.2" customHeight="1" x14ac:dyDescent="0.35">
      <c r="A54" s="469"/>
      <c r="B54" s="404"/>
      <c r="C54" s="451" t="e">
        <f>VLOOKUP(B51,Уч!$A$2:$L$34,11,FALSE)</f>
        <v>#N/A</v>
      </c>
      <c r="D54" s="444"/>
      <c r="E54" s="509" t="s">
        <v>276</v>
      </c>
      <c r="F54" s="458">
        <f>F53</f>
        <v>827</v>
      </c>
      <c r="G54" s="404" t="e">
        <f>F54+G53</f>
        <v>#N/A</v>
      </c>
      <c r="H54" s="404" t="e">
        <f>G54+H53</f>
        <v>#N/A</v>
      </c>
      <c r="I54" s="404" t="e">
        <f>H54+I53</f>
        <v>#N/A</v>
      </c>
      <c r="J54" s="459" t="e">
        <f>SUM($F53:J53)</f>
        <v>#N/A</v>
      </c>
      <c r="K54" s="404" t="e">
        <f>SUM($F53:$K53)</f>
        <v>#N/A</v>
      </c>
      <c r="L54" s="404" t="e">
        <f>K54+L53</f>
        <v>#N/A</v>
      </c>
      <c r="M54" s="404"/>
      <c r="N54" s="404"/>
      <c r="O54" s="404"/>
      <c r="P54" s="448"/>
      <c r="Q54" s="306"/>
      <c r="R54" s="372"/>
      <c r="S54" s="404">
        <f>B51</f>
        <v>32</v>
      </c>
      <c r="T54" s="287" t="e">
        <f>$A51</f>
        <v>#N/A</v>
      </c>
      <c r="U54" s="287">
        <v>4</v>
      </c>
      <c r="V54" s="287" t="e">
        <f>$A51</f>
        <v>#N/A</v>
      </c>
      <c r="W54" s="372">
        <f t="shared" ref="W54:AF54" si="7">F54</f>
        <v>827</v>
      </c>
      <c r="X54" s="372" t="e">
        <f t="shared" si="7"/>
        <v>#N/A</v>
      </c>
      <c r="Y54" s="372" t="e">
        <f t="shared" si="7"/>
        <v>#N/A</v>
      </c>
      <c r="Z54" s="372" t="e">
        <f t="shared" si="7"/>
        <v>#N/A</v>
      </c>
      <c r="AA54" s="372" t="e">
        <f t="shared" si="7"/>
        <v>#N/A</v>
      </c>
      <c r="AB54" s="372" t="e">
        <f t="shared" si="7"/>
        <v>#N/A</v>
      </c>
      <c r="AC54" s="372" t="e">
        <f t="shared" si="7"/>
        <v>#N/A</v>
      </c>
      <c r="AD54" s="372">
        <f t="shared" si="7"/>
        <v>0</v>
      </c>
      <c r="AE54" s="372">
        <f t="shared" si="7"/>
        <v>0</v>
      </c>
      <c r="AF54" s="372">
        <f t="shared" si="7"/>
        <v>0</v>
      </c>
      <c r="AH54" s="231"/>
      <c r="AI54" s="231"/>
      <c r="AJ54" s="404">
        <v>505</v>
      </c>
      <c r="AK54" s="231"/>
    </row>
    <row r="55" spans="1:37" s="280" customFormat="1" ht="13.2" customHeight="1" thickBot="1" x14ac:dyDescent="0.3">
      <c r="A55" s="514"/>
      <c r="B55" s="461"/>
      <c r="C55" s="462" t="e">
        <f>VLOOKUP(B51,Уч!$A$2:$L$34,12,FALSE)</f>
        <v>#N/A</v>
      </c>
      <c r="D55" s="467"/>
      <c r="E55" s="510" t="s">
        <v>59</v>
      </c>
      <c r="F55" s="464" t="e">
        <f>RANK(F54,$W$19:$W$85,0)</f>
        <v>#N/A</v>
      </c>
      <c r="G55" s="461" t="e">
        <f>RANK(G54,$X$19:$X$85,0)</f>
        <v>#N/A</v>
      </c>
      <c r="H55" s="461" t="e">
        <f>RANK(H54,$Y$19:$Y$85,0)</f>
        <v>#N/A</v>
      </c>
      <c r="I55" s="461" t="e">
        <f>RANK(I54,$Z$19:$Z$85,0)</f>
        <v>#N/A</v>
      </c>
      <c r="J55" s="465" t="e">
        <f>RANK(J54,$AA$19:$AA$85,0)</f>
        <v>#N/A</v>
      </c>
      <c r="K55" s="461" t="e">
        <f>RANK(K54,$AB$19:$AB$85,0)</f>
        <v>#N/A</v>
      </c>
      <c r="L55" s="461" t="e">
        <f>RANK(L54,$AC$19:$AC$85,0)</f>
        <v>#N/A</v>
      </c>
      <c r="M55" s="461"/>
      <c r="N55" s="461"/>
      <c r="O55" s="461"/>
      <c r="P55" s="466"/>
      <c r="Q55" s="495"/>
      <c r="R55" s="442"/>
      <c r="S55" s="205">
        <f>B51</f>
        <v>32</v>
      </c>
      <c r="T55" s="287" t="e">
        <f>$A51</f>
        <v>#N/A</v>
      </c>
      <c r="U55" s="287">
        <v>5</v>
      </c>
      <c r="V55" s="287" t="e">
        <f>$A51</f>
        <v>#N/A</v>
      </c>
      <c r="W55" s="449"/>
      <c r="X55" s="307"/>
      <c r="Y55" s="307"/>
      <c r="Z55" s="307"/>
      <c r="AA55" s="307"/>
      <c r="AB55" s="307"/>
      <c r="AC55" s="307"/>
      <c r="AD55" s="450"/>
      <c r="AE55" s="450"/>
      <c r="AF55" s="450"/>
      <c r="AH55" s="231"/>
      <c r="AI55" s="231"/>
      <c r="AJ55" s="404">
        <v>505</v>
      </c>
      <c r="AK55" s="231"/>
    </row>
    <row r="56" spans="1:37" s="280" customFormat="1" ht="13.2" customHeight="1" thickTop="1" x14ac:dyDescent="0.35">
      <c r="A56" s="469" t="e">
        <f>RANK(P56,$P$16:$P$85,0)</f>
        <v>#N/A</v>
      </c>
      <c r="B56" s="404">
        <v>24</v>
      </c>
      <c r="C56" s="443" t="e">
        <f>VLOOKUP(B56,Уч!$A$2:$L$34,2,FALSE)</f>
        <v>#N/A</v>
      </c>
      <c r="D56" s="444" t="e">
        <f>VLOOKUP(B56,Уч!$A$2:$L$34,3,FALSE)</f>
        <v>#N/A</v>
      </c>
      <c r="E56" s="509" t="s">
        <v>19</v>
      </c>
      <c r="F56" s="445">
        <f>VLOOKUP($B56,'100 м 1'!$C$18:$I$87,5,FALSE)</f>
        <v>11.15</v>
      </c>
      <c r="G56" s="446" t="e">
        <f>VLOOKUP($B56,'длина 2 '!$C$16:$O$54,11,FALSE)</f>
        <v>#N/A</v>
      </c>
      <c r="H56" s="446" t="e">
        <f>VLOOKUP($B56,'ядро 2'!$C$16:$K$60,8,FALSE)</f>
        <v>#N/A</v>
      </c>
      <c r="I56" s="446" t="e">
        <f>VLOOKUP($B56,'высота 2'!$C$16:$AF$57,29,FALSE)</f>
        <v>#N/A</v>
      </c>
      <c r="J56" s="447">
        <f>VLOOKUP($B56,'4_р'!$C$17:$H$73,5,FALSE)</f>
        <v>54.8</v>
      </c>
      <c r="K56" s="446">
        <f>VLOOKUP($B56,'1cб_р'!$C$17:$I$67,5,FALSE)</f>
        <v>17.36</v>
      </c>
      <c r="L56" s="516" t="s">
        <v>96</v>
      </c>
      <c r="M56" s="471"/>
      <c r="N56" s="471"/>
      <c r="O56" s="473"/>
      <c r="P56" s="491" t="e">
        <f>SUM(F58:O58)</f>
        <v>#N/A</v>
      </c>
      <c r="Q56" s="469" t="e">
        <f>LOOKUP(P56,Y$1:AH$1,Y$2:AH$2)</f>
        <v>#N/A</v>
      </c>
      <c r="R56" s="404">
        <v>0</v>
      </c>
      <c r="S56" s="404">
        <f>B56</f>
        <v>24</v>
      </c>
      <c r="T56" s="287" t="e">
        <f>$A56</f>
        <v>#N/A</v>
      </c>
      <c r="U56" s="287">
        <v>1</v>
      </c>
      <c r="V56" s="287" t="e">
        <f>$A56</f>
        <v>#N/A</v>
      </c>
      <c r="W56" s="449"/>
      <c r="X56" s="307"/>
      <c r="Y56" s="307"/>
      <c r="Z56" s="307"/>
      <c r="AA56" s="307"/>
      <c r="AB56" s="307"/>
      <c r="AC56" s="307"/>
      <c r="AD56" s="450"/>
      <c r="AE56" s="450"/>
      <c r="AF56" s="450"/>
      <c r="AH56" s="280" t="e">
        <f>IF(AND(T56&gt;16,P56&gt;=5500),"1",LOOKUP(T56,Y$5:AO$5,Y$6:AO$6))</f>
        <v>#N/A</v>
      </c>
      <c r="AI56" s="280" t="e">
        <f>LOOKUP(Q56,Y$8:AD$8,Y$9:AD$9)</f>
        <v>#N/A</v>
      </c>
      <c r="AJ56" s="404">
        <v>180</v>
      </c>
      <c r="AK56" s="231"/>
    </row>
    <row r="57" spans="1:37" s="280" customFormat="1" ht="13.2" customHeight="1" x14ac:dyDescent="0.35">
      <c r="A57" s="231"/>
      <c r="B57" s="404"/>
      <c r="C57" s="451" t="e">
        <f>VLOOKUP(B56,Уч!$A$2:$L$34,5,FALSE)</f>
        <v>#N/A</v>
      </c>
      <c r="D57" s="444" t="e">
        <f>VLOOKUP(B56,Уч!$A$2:$L$34,4,FALSE)</f>
        <v>#N/A</v>
      </c>
      <c r="E57" s="509" t="s">
        <v>25</v>
      </c>
      <c r="F57" s="453">
        <f>VLOOKUP($B56,'100 м 1'!$C$18:$I$87,6,FALSE)</f>
        <v>1</v>
      </c>
      <c r="G57" s="454" t="e">
        <f>VLOOKUP($B56,'длина 2 '!$C$16:$O$54,12,FALSE)</f>
        <v>#N/A</v>
      </c>
      <c r="H57" s="404"/>
      <c r="I57" s="454"/>
      <c r="J57" s="455"/>
      <c r="K57" s="454">
        <f>VLOOKUP($B56,'1cб_р'!$C$17:$I$67,6,FALSE)</f>
        <v>0</v>
      </c>
      <c r="L57" s="476"/>
      <c r="M57" s="476"/>
      <c r="N57" s="473"/>
      <c r="O57" s="473"/>
      <c r="P57" s="448"/>
      <c r="Q57" s="303"/>
      <c r="R57" s="473" t="e">
        <f>CONCATENATE(AH56,"+",AI56,"+",5)</f>
        <v>#N/A</v>
      </c>
      <c r="S57" s="404">
        <f>B56</f>
        <v>24</v>
      </c>
      <c r="T57" s="287" t="e">
        <f>$A56</f>
        <v>#N/A</v>
      </c>
      <c r="U57" s="287">
        <v>2</v>
      </c>
      <c r="V57" s="287" t="e">
        <f>$A56</f>
        <v>#N/A</v>
      </c>
      <c r="W57" s="449"/>
      <c r="X57" s="307"/>
      <c r="Y57" s="307"/>
      <c r="Z57" s="307"/>
      <c r="AA57" s="307"/>
      <c r="AB57" s="307"/>
      <c r="AC57" s="307"/>
      <c r="AD57" s="450"/>
      <c r="AE57" s="450"/>
      <c r="AF57" s="450"/>
      <c r="AH57" s="231"/>
      <c r="AI57" s="231"/>
      <c r="AJ57" s="404">
        <v>180</v>
      </c>
      <c r="AK57" s="231"/>
    </row>
    <row r="58" spans="1:37" s="280" customFormat="1" ht="13.2" customHeight="1" x14ac:dyDescent="0.35">
      <c r="A58" s="231"/>
      <c r="B58" s="404"/>
      <c r="C58" s="457" t="e">
        <f>VLOOKUP(B56,Уч!$A$2:$L$34,7,FALSE)</f>
        <v>#N/A</v>
      </c>
      <c r="D58" s="444"/>
      <c r="E58" s="509" t="s">
        <v>29</v>
      </c>
      <c r="F58" s="458">
        <f>VLOOKUP($B56,'100 м 1'!$C$18:$I$87,7,FALSE)</f>
        <v>827</v>
      </c>
      <c r="G58" s="404" t="e">
        <f>VLOOKUP($B56,'длина 2 '!$C$16:$O$54,13,FALSE)</f>
        <v>#N/A</v>
      </c>
      <c r="H58" s="404" t="e">
        <f>VLOOKUP($B56,'ядро 2'!$C$16:$K$60,9,FALSE)</f>
        <v>#N/A</v>
      </c>
      <c r="I58" s="404" t="e">
        <f>VLOOKUP($B56,'высота 2'!$C$16:$AF$57,30,)</f>
        <v>#N/A</v>
      </c>
      <c r="J58" s="459">
        <f>VLOOKUP($B56,'4_р'!$C$17:$H$73,6,FALSE)</f>
        <v>607</v>
      </c>
      <c r="K58" s="404">
        <f>VLOOKUP($B56,'1cб_р'!$C$17:$I$67,7,FALSE)</f>
        <v>587</v>
      </c>
      <c r="L58" s="473"/>
      <c r="M58" s="473"/>
      <c r="N58" s="473"/>
      <c r="O58" s="473"/>
      <c r="P58" s="448"/>
      <c r="Q58" s="493"/>
      <c r="R58" s="372"/>
      <c r="S58" s="404">
        <f>B56</f>
        <v>24</v>
      </c>
      <c r="T58" s="287" t="e">
        <f>$A56</f>
        <v>#N/A</v>
      </c>
      <c r="U58" s="287">
        <v>3</v>
      </c>
      <c r="V58" s="287" t="e">
        <f>$A56</f>
        <v>#N/A</v>
      </c>
      <c r="W58" s="449"/>
      <c r="X58" s="307"/>
      <c r="Y58" s="307"/>
      <c r="Z58" s="307"/>
      <c r="AA58" s="307"/>
      <c r="AB58" s="307"/>
      <c r="AC58" s="307"/>
      <c r="AD58" s="450"/>
      <c r="AE58" s="450"/>
      <c r="AF58" s="450"/>
      <c r="AH58" s="231"/>
      <c r="AI58" s="231"/>
      <c r="AJ58" s="404">
        <v>180</v>
      </c>
      <c r="AK58" s="231"/>
    </row>
    <row r="59" spans="1:37" s="280" customFormat="1" ht="13.2" customHeight="1" x14ac:dyDescent="0.35">
      <c r="A59" s="231"/>
      <c r="B59" s="404"/>
      <c r="C59" s="451" t="e">
        <f>VLOOKUP(B56,Уч!$A$2:$L$34,11,FALSE)</f>
        <v>#N/A</v>
      </c>
      <c r="D59" s="444"/>
      <c r="E59" s="509" t="s">
        <v>276</v>
      </c>
      <c r="F59" s="458">
        <f>F58</f>
        <v>827</v>
      </c>
      <c r="G59" s="404" t="e">
        <f>F59+G58</f>
        <v>#N/A</v>
      </c>
      <c r="H59" s="404" t="e">
        <f>G59+H58</f>
        <v>#N/A</v>
      </c>
      <c r="I59" s="404" t="e">
        <f>H59+I58</f>
        <v>#N/A</v>
      </c>
      <c r="J59" s="459" t="e">
        <f>SUM($F58:J58)</f>
        <v>#N/A</v>
      </c>
      <c r="K59" s="404" t="e">
        <f>SUM($F58:$K58)</f>
        <v>#N/A</v>
      </c>
      <c r="L59" s="473"/>
      <c r="M59" s="473"/>
      <c r="N59" s="473"/>
      <c r="O59" s="473"/>
      <c r="P59" s="448"/>
      <c r="Q59" s="303"/>
      <c r="R59" s="372"/>
      <c r="S59" s="404">
        <f>B56</f>
        <v>24</v>
      </c>
      <c r="T59" s="287" t="e">
        <f>$A56</f>
        <v>#N/A</v>
      </c>
      <c r="U59" s="287">
        <v>4</v>
      </c>
      <c r="V59" s="287" t="e">
        <f>$A56</f>
        <v>#N/A</v>
      </c>
      <c r="W59" s="372">
        <f t="shared" ref="W59:AF59" si="8">F59</f>
        <v>827</v>
      </c>
      <c r="X59" s="372" t="e">
        <f t="shared" si="8"/>
        <v>#N/A</v>
      </c>
      <c r="Y59" s="372" t="e">
        <f t="shared" si="8"/>
        <v>#N/A</v>
      </c>
      <c r="Z59" s="372" t="e">
        <f t="shared" si="8"/>
        <v>#N/A</v>
      </c>
      <c r="AA59" s="372" t="e">
        <f t="shared" si="8"/>
        <v>#N/A</v>
      </c>
      <c r="AB59" s="372" t="e">
        <f t="shared" si="8"/>
        <v>#N/A</v>
      </c>
      <c r="AC59" s="372">
        <f t="shared" si="8"/>
        <v>0</v>
      </c>
      <c r="AD59" s="372">
        <f t="shared" si="8"/>
        <v>0</v>
      </c>
      <c r="AE59" s="372">
        <f t="shared" si="8"/>
        <v>0</v>
      </c>
      <c r="AF59" s="372">
        <f t="shared" si="8"/>
        <v>0</v>
      </c>
      <c r="AH59" s="231"/>
      <c r="AI59" s="231"/>
      <c r="AJ59" s="404">
        <v>180</v>
      </c>
      <c r="AK59" s="231"/>
    </row>
    <row r="60" spans="1:37" s="280" customFormat="1" ht="13.2" customHeight="1" thickBot="1" x14ac:dyDescent="0.3">
      <c r="A60" s="460"/>
      <c r="B60" s="461"/>
      <c r="C60" s="462" t="e">
        <f>VLOOKUP(B56,Уч!$A$2:$L$34,12,FALSE)</f>
        <v>#N/A</v>
      </c>
      <c r="D60" s="467"/>
      <c r="E60" s="510" t="s">
        <v>59</v>
      </c>
      <c r="F60" s="464" t="e">
        <f>RANK(F59,$W$19:$W$85,0)</f>
        <v>#N/A</v>
      </c>
      <c r="G60" s="461" t="e">
        <f>RANK(G59,$X$19:$X$85,0)</f>
        <v>#N/A</v>
      </c>
      <c r="H60" s="461" t="e">
        <f>RANK(H59,$Y$19:$Y$85,0)</f>
        <v>#N/A</v>
      </c>
      <c r="I60" s="461" t="e">
        <f>RANK(I59,$Z$19:$Z$85,0)</f>
        <v>#N/A</v>
      </c>
      <c r="J60" s="465" t="e">
        <f>RANK(J59,$AA$19:$AA$85,0)</f>
        <v>#N/A</v>
      </c>
      <c r="K60" s="461" t="e">
        <f>RANK(K59,$AB$19:$AB$85,0)</f>
        <v>#N/A</v>
      </c>
      <c r="L60" s="481"/>
      <c r="M60" s="481"/>
      <c r="N60" s="481"/>
      <c r="O60" s="481"/>
      <c r="P60" s="466"/>
      <c r="Q60" s="495"/>
      <c r="R60" s="442"/>
      <c r="S60" s="205">
        <f>B56</f>
        <v>24</v>
      </c>
      <c r="T60" s="287" t="e">
        <f>$A56</f>
        <v>#N/A</v>
      </c>
      <c r="U60" s="287">
        <v>5</v>
      </c>
      <c r="V60" s="287" t="e">
        <f>$A56</f>
        <v>#N/A</v>
      </c>
      <c r="W60" s="449"/>
      <c r="X60" s="307"/>
      <c r="Y60" s="307"/>
      <c r="Z60" s="307"/>
      <c r="AA60" s="307"/>
      <c r="AB60" s="307"/>
      <c r="AC60" s="307"/>
      <c r="AD60" s="450"/>
      <c r="AE60" s="450"/>
      <c r="AF60" s="450"/>
      <c r="AJ60" s="404">
        <v>180</v>
      </c>
      <c r="AK60" s="231"/>
    </row>
    <row r="61" spans="1:37" s="280" customFormat="1" ht="13.2" customHeight="1" thickTop="1" x14ac:dyDescent="0.35">
      <c r="A61" s="469" t="e">
        <f>RANK(P61,$P$16:$P$85,0)</f>
        <v>#N/A</v>
      </c>
      <c r="B61" s="404">
        <v>28</v>
      </c>
      <c r="C61" s="443" t="e">
        <f>VLOOKUP(B61,Уч!$A$2:$L$34,2,FALSE)</f>
        <v>#N/A</v>
      </c>
      <c r="D61" s="444" t="e">
        <f>VLOOKUP(B61,Уч!$A$2:$L$34,3,FALSE)</f>
        <v>#N/A</v>
      </c>
      <c r="E61" s="509" t="s">
        <v>19</v>
      </c>
      <c r="F61" s="445" t="e">
        <f>VLOOKUP($B61,'100 м 1'!$C$18:$I$87,5,FALSE)</f>
        <v>#N/A</v>
      </c>
      <c r="G61" s="446" t="e">
        <f>VLOOKUP($B61,'длина 2 '!$C$16:$O$54,11,FALSE)</f>
        <v>#N/A</v>
      </c>
      <c r="H61" s="471" t="e">
        <f>VLOOKUP($B61,'ядро 2'!$C$16:$K$60,8,FALSE)</f>
        <v>#N/A</v>
      </c>
      <c r="I61" s="471" t="e">
        <f>VLOOKUP($B61,'высота 2'!$C$16:$AF$57,29,FALSE)</f>
        <v>#N/A</v>
      </c>
      <c r="J61" s="472" t="e">
        <f>VLOOKUP($B61,'4_р'!$C$17:$H$73,5,FALSE)</f>
        <v>#N/A</v>
      </c>
      <c r="K61" s="471">
        <f>VLOOKUP($B61,'1cб_р'!$C$17:$I$67,5,FALSE)</f>
        <v>0</v>
      </c>
      <c r="L61" s="471">
        <f>VLOOKUP($B61,Дс_р!$C$16:$K$70,8,FALSE)</f>
        <v>0</v>
      </c>
      <c r="M61" s="471">
        <f>VLOOKUP($B61,Ш_р!$C$15:$AF$69,29,FALSE)</f>
        <v>0</v>
      </c>
      <c r="N61" s="471">
        <f>VLOOKUP($B61,К_р!$C$15:$K$68,8,FALSE)</f>
        <v>0</v>
      </c>
      <c r="O61" s="473">
        <f>VLOOKUP($B61,'15_р'!$C$17:$H$86,5,FALSE)</f>
        <v>0</v>
      </c>
      <c r="P61" s="491" t="e">
        <f>SUM(F63:O63)</f>
        <v>#N/A</v>
      </c>
      <c r="Q61" s="469" t="e">
        <f>LOOKUP(P61,Y$1:AH$1,Y$2:AH$2)</f>
        <v>#N/A</v>
      </c>
      <c r="R61" s="404" t="s">
        <v>116</v>
      </c>
      <c r="S61" s="404">
        <f>B61</f>
        <v>28</v>
      </c>
      <c r="T61" s="287" t="e">
        <f>$A61</f>
        <v>#N/A</v>
      </c>
      <c r="U61" s="287">
        <v>1</v>
      </c>
      <c r="V61" s="287" t="s">
        <v>162</v>
      </c>
      <c r="W61" s="449"/>
      <c r="X61" s="307"/>
      <c r="Y61" s="307"/>
      <c r="Z61" s="307"/>
      <c r="AA61" s="307"/>
      <c r="AB61" s="307"/>
      <c r="AC61" s="307"/>
      <c r="AD61" s="450"/>
      <c r="AE61" s="450"/>
      <c r="AF61" s="450"/>
      <c r="AH61" s="280" t="e">
        <f>IF(AND(T61&gt;16,P61&gt;=5500),"1",LOOKUP(T61,Y$5:AO$5,Y$6:AO$6))</f>
        <v>#N/A</v>
      </c>
      <c r="AI61" s="280" t="e">
        <f>LOOKUP(Q61,Y$8:AD$8,Y$9:AD$9)</f>
        <v>#N/A</v>
      </c>
      <c r="AJ61" s="404">
        <v>99</v>
      </c>
      <c r="AK61" s="231"/>
    </row>
    <row r="62" spans="1:37" s="280" customFormat="1" ht="13.2" customHeight="1" x14ac:dyDescent="0.35">
      <c r="A62" s="231"/>
      <c r="B62" s="404"/>
      <c r="C62" s="451" t="e">
        <f>VLOOKUP(B61,Уч!$A$2:$L$34,5,FALSE)</f>
        <v>#N/A</v>
      </c>
      <c r="D62" s="452" t="e">
        <f>VLOOKUP(B61,Уч!$A$2:$L$34,4,FALSE)</f>
        <v>#N/A</v>
      </c>
      <c r="E62" s="509" t="s">
        <v>25</v>
      </c>
      <c r="F62" s="453" t="e">
        <f>VLOOKUP($B61,'100 м 1'!$C$18:$I$87,6,FALSE)</f>
        <v>#N/A</v>
      </c>
      <c r="G62" s="454" t="e">
        <f>VLOOKUP($B61,'длина 2 '!$C$16:$O$54,12,FALSE)</f>
        <v>#N/A</v>
      </c>
      <c r="H62" s="473"/>
      <c r="I62" s="476"/>
      <c r="J62" s="477"/>
      <c r="K62" s="476">
        <f>VLOOKUP($B61,'1cб_р'!$C$17:$I$67,6,FALSE)</f>
        <v>0</v>
      </c>
      <c r="L62" s="476"/>
      <c r="M62" s="476"/>
      <c r="N62" s="473"/>
      <c r="O62" s="473"/>
      <c r="P62" s="448"/>
      <c r="Q62" s="303"/>
      <c r="R62" s="473" t="e">
        <f>CONCATENATE(AH61,"+",AI61,"+",5)</f>
        <v>#N/A</v>
      </c>
      <c r="S62" s="404">
        <f>B61</f>
        <v>28</v>
      </c>
      <c r="T62" s="287" t="e">
        <f>$A61</f>
        <v>#N/A</v>
      </c>
      <c r="U62" s="287">
        <v>2</v>
      </c>
      <c r="V62" s="287" t="s">
        <v>162</v>
      </c>
      <c r="W62" s="449"/>
      <c r="X62" s="307"/>
      <c r="Y62" s="307"/>
      <c r="Z62" s="307"/>
      <c r="AA62" s="307"/>
      <c r="AB62" s="307"/>
      <c r="AC62" s="307"/>
      <c r="AD62" s="450"/>
      <c r="AE62" s="450"/>
      <c r="AF62" s="450"/>
      <c r="AH62" s="231"/>
      <c r="AI62" s="231"/>
      <c r="AJ62" s="404">
        <v>99</v>
      </c>
      <c r="AK62" s="231"/>
    </row>
    <row r="63" spans="1:37" s="280" customFormat="1" ht="13.2" customHeight="1" x14ac:dyDescent="0.35">
      <c r="A63" s="231"/>
      <c r="B63" s="404"/>
      <c r="C63" s="457" t="e">
        <f>VLOOKUP(B61,Уч!$A$2:$L$34,7,FALSE)</f>
        <v>#N/A</v>
      </c>
      <c r="D63" s="452"/>
      <c r="E63" s="509" t="s">
        <v>29</v>
      </c>
      <c r="F63" s="458" t="e">
        <f>VLOOKUP($B61,'100 м 1'!$C$18:$I$87,7,FALSE)</f>
        <v>#N/A</v>
      </c>
      <c r="G63" s="404" t="e">
        <f>VLOOKUP($B61,'длина 2 '!$C$16:$O$54,13,FALSE)</f>
        <v>#N/A</v>
      </c>
      <c r="H63" s="473" t="e">
        <f>VLOOKUP($B61,'ядро 2'!$C$16:$K$60,9,FALSE)</f>
        <v>#N/A</v>
      </c>
      <c r="I63" s="473" t="e">
        <f>VLOOKUP($B61,'высота 2'!$C$16:$AF$57,30,)</f>
        <v>#N/A</v>
      </c>
      <c r="J63" s="479" t="e">
        <f>VLOOKUP($B61,'4_р'!$C$17:$H$73,6,FALSE)</f>
        <v>#N/A</v>
      </c>
      <c r="K63" s="473">
        <f>VLOOKUP($B61,'1cб_р'!$C$17:$I$67,7,FALSE)</f>
        <v>0</v>
      </c>
      <c r="L63" s="473">
        <f>VLOOKUP($B61,Дс_р!$C$16:$K$70,9,FALSE)</f>
        <v>0</v>
      </c>
      <c r="M63" s="473">
        <f>VLOOKUP($B61,Ш_р!$C$15:$AF$69,30,FALSE)</f>
        <v>0</v>
      </c>
      <c r="N63" s="473">
        <f>VLOOKUP($B61,К_р!$C$15:$K$68,9,FALSE)</f>
        <v>0</v>
      </c>
      <c r="O63" s="473">
        <f>VLOOKUP($B61,'15_р'!$C$17:$H$86,6,FALSE)</f>
        <v>0</v>
      </c>
      <c r="P63" s="448"/>
      <c r="Q63" s="493"/>
      <c r="R63" s="372"/>
      <c r="S63" s="404">
        <f>B61</f>
        <v>28</v>
      </c>
      <c r="T63" s="287" t="e">
        <f>$A61</f>
        <v>#N/A</v>
      </c>
      <c r="U63" s="287">
        <v>3</v>
      </c>
      <c r="V63" s="287" t="s">
        <v>162</v>
      </c>
      <c r="W63" s="449"/>
      <c r="X63" s="307"/>
      <c r="Y63" s="307"/>
      <c r="Z63" s="307"/>
      <c r="AA63" s="307"/>
      <c r="AB63" s="307"/>
      <c r="AC63" s="307"/>
      <c r="AD63" s="450"/>
      <c r="AE63" s="450"/>
      <c r="AF63" s="450"/>
      <c r="AH63" s="231"/>
      <c r="AI63" s="231"/>
      <c r="AJ63" s="404">
        <v>99</v>
      </c>
      <c r="AK63" s="231"/>
    </row>
    <row r="64" spans="1:37" s="280" customFormat="1" ht="13.2" customHeight="1" x14ac:dyDescent="0.35">
      <c r="A64" s="231"/>
      <c r="B64" s="404"/>
      <c r="C64" s="451" t="e">
        <f>VLOOKUP(B61,Уч!$A$2:$L$34,11,FALSE)</f>
        <v>#N/A</v>
      </c>
      <c r="D64" s="452"/>
      <c r="E64" s="509" t="s">
        <v>276</v>
      </c>
      <c r="F64" s="458" t="e">
        <f>F63</f>
        <v>#N/A</v>
      </c>
      <c r="G64" s="404" t="e">
        <f>F64+G63</f>
        <v>#N/A</v>
      </c>
      <c r="H64" s="473" t="e">
        <f>G64+H63</f>
        <v>#N/A</v>
      </c>
      <c r="I64" s="473" t="e">
        <f>H64+I63</f>
        <v>#N/A</v>
      </c>
      <c r="J64" s="479" t="e">
        <f>SUM($F63:J63)</f>
        <v>#N/A</v>
      </c>
      <c r="K64" s="473" t="e">
        <f>SUM($F63:$K63)</f>
        <v>#N/A</v>
      </c>
      <c r="L64" s="473" t="e">
        <f>K64+L63</f>
        <v>#N/A</v>
      </c>
      <c r="M64" s="473" t="e">
        <f>L64+M63</f>
        <v>#N/A</v>
      </c>
      <c r="N64" s="473" t="e">
        <f>SUM($F63:$N63)</f>
        <v>#N/A</v>
      </c>
      <c r="O64" s="473" t="e">
        <f>SUM($F63:$O63)</f>
        <v>#N/A</v>
      </c>
      <c r="P64" s="448"/>
      <c r="Q64" s="493"/>
      <c r="R64" s="372"/>
      <c r="S64" s="404">
        <f>B61</f>
        <v>28</v>
      </c>
      <c r="T64" s="287" t="e">
        <f>$A61</f>
        <v>#N/A</v>
      </c>
      <c r="U64" s="287">
        <v>4</v>
      </c>
      <c r="V64" s="287" t="s">
        <v>162</v>
      </c>
      <c r="W64" s="372" t="e">
        <f t="shared" ref="W64:AF64" si="9">F64</f>
        <v>#N/A</v>
      </c>
      <c r="X64" s="372" t="e">
        <f t="shared" si="9"/>
        <v>#N/A</v>
      </c>
      <c r="Y64" s="372" t="e">
        <f t="shared" si="9"/>
        <v>#N/A</v>
      </c>
      <c r="Z64" s="372" t="e">
        <f t="shared" si="9"/>
        <v>#N/A</v>
      </c>
      <c r="AA64" s="372" t="e">
        <f t="shared" si="9"/>
        <v>#N/A</v>
      </c>
      <c r="AB64" s="372" t="e">
        <f t="shared" si="9"/>
        <v>#N/A</v>
      </c>
      <c r="AC64" s="372" t="e">
        <f t="shared" si="9"/>
        <v>#N/A</v>
      </c>
      <c r="AD64" s="372" t="e">
        <f t="shared" si="9"/>
        <v>#N/A</v>
      </c>
      <c r="AE64" s="372" t="e">
        <f t="shared" si="9"/>
        <v>#N/A</v>
      </c>
      <c r="AF64" s="372" t="e">
        <f t="shared" si="9"/>
        <v>#N/A</v>
      </c>
      <c r="AH64" s="231"/>
      <c r="AI64" s="231"/>
      <c r="AJ64" s="404">
        <v>99</v>
      </c>
      <c r="AK64" s="231"/>
    </row>
    <row r="65" spans="1:37" s="280" customFormat="1" ht="13.2" customHeight="1" thickBot="1" x14ac:dyDescent="0.3">
      <c r="A65" s="460"/>
      <c r="B65" s="461"/>
      <c r="C65" s="462" t="e">
        <f>VLOOKUP(B61,Уч!$A$2:$L$34,12,FALSE)</f>
        <v>#N/A</v>
      </c>
      <c r="D65" s="463"/>
      <c r="E65" s="510" t="s">
        <v>59</v>
      </c>
      <c r="F65" s="464" t="e">
        <f>RANK(F64,$W$19:$W$85,0)</f>
        <v>#N/A</v>
      </c>
      <c r="G65" s="461" t="e">
        <f>RANK(G64,$X$19:$X$85,0)</f>
        <v>#N/A</v>
      </c>
      <c r="H65" s="481" t="e">
        <f>RANK(H64,$Y$19:$Y$85,0)</f>
        <v>#N/A</v>
      </c>
      <c r="I65" s="481" t="e">
        <f>RANK(I64,$Z$19:$Z$85,0)</f>
        <v>#N/A</v>
      </c>
      <c r="J65" s="482" t="e">
        <f>RANK(J64,$AA$19:$AA$85,0)</f>
        <v>#N/A</v>
      </c>
      <c r="K65" s="481" t="e">
        <f>RANK(K64,$AB$19:$AB$85,0)</f>
        <v>#N/A</v>
      </c>
      <c r="L65" s="481" t="e">
        <f>RANK(L64,$AC$19:$AC$85,0)</f>
        <v>#N/A</v>
      </c>
      <c r="M65" s="481" t="e">
        <f>RANK(M64,$AD$19:$AD$85,0)</f>
        <v>#N/A</v>
      </c>
      <c r="N65" s="481" t="e">
        <f>RANK(N64,$AE$19:$AE$85,0)</f>
        <v>#N/A</v>
      </c>
      <c r="O65" s="481" t="e">
        <f>RANK(O64,$AF$19:$AF$85,0)</f>
        <v>#N/A</v>
      </c>
      <c r="P65" s="466"/>
      <c r="Q65" s="495"/>
      <c r="R65" s="442"/>
      <c r="S65" s="205">
        <f>B61</f>
        <v>28</v>
      </c>
      <c r="T65" s="287" t="e">
        <f>$A61</f>
        <v>#N/A</v>
      </c>
      <c r="U65" s="287">
        <v>5</v>
      </c>
      <c r="V65" s="287" t="s">
        <v>162</v>
      </c>
      <c r="W65" s="449"/>
      <c r="X65" s="307"/>
      <c r="Y65" s="307"/>
      <c r="Z65" s="307"/>
      <c r="AA65" s="307"/>
      <c r="AB65" s="307"/>
      <c r="AC65" s="307"/>
      <c r="AD65" s="450"/>
      <c r="AE65" s="450"/>
      <c r="AF65" s="450"/>
      <c r="AJ65" s="404">
        <v>99</v>
      </c>
      <c r="AK65" s="231"/>
    </row>
    <row r="66" spans="1:37" s="280" customFormat="1" ht="13.2" customHeight="1" thickTop="1" x14ac:dyDescent="0.35">
      <c r="A66" s="469" t="e">
        <f>RANK(P66,$P$16:$P$85,0)</f>
        <v>#N/A</v>
      </c>
      <c r="B66" s="404">
        <v>38</v>
      </c>
      <c r="C66" s="443" t="e">
        <f>VLOOKUP(B66,Уч!$A$2:$L$34,2,FALSE)</f>
        <v>#N/A</v>
      </c>
      <c r="D66" s="444" t="e">
        <f>VLOOKUP(B66,Уч!$A$2:$L$34,3,FALSE)</f>
        <v>#N/A</v>
      </c>
      <c r="E66" s="509" t="s">
        <v>19</v>
      </c>
      <c r="F66" s="445" t="e">
        <f>VLOOKUP($B66,'100 м 1'!$C$18:$I$87,5,FALSE)</f>
        <v>#N/A</v>
      </c>
      <c r="G66" s="446" t="e">
        <f>VLOOKUP($B66,'длина 2 '!$C$16:$O$54,11,FALSE)</f>
        <v>#N/A</v>
      </c>
      <c r="H66" s="471" t="e">
        <f>VLOOKUP($B66,'ядро 2'!$C$16:$K$60,8,FALSE)</f>
        <v>#N/A</v>
      </c>
      <c r="I66" s="471" t="e">
        <f>VLOOKUP($B66,'высота 2'!$C$16:$AF$57,29,FALSE)</f>
        <v>#N/A</v>
      </c>
      <c r="J66" s="472" t="e">
        <f>VLOOKUP($B66,'4_р'!$C$17:$H$73,5,FALSE)</f>
        <v>#N/A</v>
      </c>
      <c r="K66" s="471">
        <f>VLOOKUP($B66,'1cб_р'!$C$17:$I$67,5,FALSE)</f>
        <v>0</v>
      </c>
      <c r="L66" s="471">
        <f>VLOOKUP($B66,Дс_р!$C$16:$K$70,8,FALSE)</f>
        <v>0</v>
      </c>
      <c r="M66" s="471">
        <f>VLOOKUP($B66,Ш_р!$C$15:$AF$69,29,FALSE)</f>
        <v>0</v>
      </c>
      <c r="N66" s="471">
        <f>VLOOKUP($B66,К_р!$C$15:$K$68,8,FALSE)</f>
        <v>0</v>
      </c>
      <c r="O66" s="473">
        <f>VLOOKUP($B66,'15_р'!$C$17:$H$86,5,FALSE)</f>
        <v>0</v>
      </c>
      <c r="P66" s="448" t="e">
        <f>SUM(F68:O68)</f>
        <v>#N/A</v>
      </c>
      <c r="Q66" s="469" t="e">
        <f>LOOKUP(P66,Y$1:AH$1,Y$2:AH$2)</f>
        <v>#N/A</v>
      </c>
      <c r="R66" s="404">
        <v>0</v>
      </c>
      <c r="S66" s="404">
        <f>B66</f>
        <v>38</v>
      </c>
      <c r="T66" s="287" t="e">
        <f>$A66</f>
        <v>#N/A</v>
      </c>
      <c r="U66" s="287">
        <v>1</v>
      </c>
      <c r="V66" s="287" t="e">
        <f>$A66</f>
        <v>#N/A</v>
      </c>
      <c r="W66" s="449"/>
      <c r="X66" s="307"/>
      <c r="Y66" s="307"/>
      <c r="Z66" s="307"/>
      <c r="AA66" s="307"/>
      <c r="AB66" s="307"/>
      <c r="AC66" s="307"/>
      <c r="AD66" s="450"/>
      <c r="AE66" s="450"/>
      <c r="AF66" s="450"/>
      <c r="AH66" s="280" t="e">
        <f>IF(AND(T66&gt;16,P66&gt;=5500),"1",LOOKUP(T66,Y$5:AO$5,Y$6:AO$6))</f>
        <v>#N/A</v>
      </c>
      <c r="AI66" s="280" t="e">
        <f>LOOKUP(Q66,Y$8:AD$8,Y$9:AD$9)</f>
        <v>#N/A</v>
      </c>
      <c r="AJ66" s="404">
        <v>452</v>
      </c>
      <c r="AK66" s="231"/>
    </row>
    <row r="67" spans="1:37" s="280" customFormat="1" ht="13.2" customHeight="1" x14ac:dyDescent="0.35">
      <c r="A67" s="231"/>
      <c r="B67" s="404"/>
      <c r="C67" s="451" t="e">
        <f>VLOOKUP(B66,Уч!$A$2:$L$34,5,FALSE)</f>
        <v>#N/A</v>
      </c>
      <c r="D67" s="444" t="e">
        <f>VLOOKUP(B66,Уч!$A$2:$L$34,4,FALSE)</f>
        <v>#N/A</v>
      </c>
      <c r="E67" s="509" t="s">
        <v>25</v>
      </c>
      <c r="F67" s="453" t="e">
        <f>VLOOKUP($B66,'100 м 1'!$C$18:$I$87,6,FALSE)</f>
        <v>#N/A</v>
      </c>
      <c r="G67" s="454" t="e">
        <f>VLOOKUP($B66,'длина 2 '!$C$16:$O$54,12,FALSE)</f>
        <v>#N/A</v>
      </c>
      <c r="H67" s="473"/>
      <c r="I67" s="476"/>
      <c r="J67" s="477"/>
      <c r="K67" s="476">
        <f>VLOOKUP($B66,'1cб_р'!$C$17:$I$67,6,FALSE)</f>
        <v>0</v>
      </c>
      <c r="L67" s="476"/>
      <c r="M67" s="476"/>
      <c r="N67" s="473"/>
      <c r="O67" s="473"/>
      <c r="P67" s="448"/>
      <c r="Q67" s="303"/>
      <c r="R67" s="473" t="e">
        <f>CONCATENATE(AH66,"+",AI66,"+",5)</f>
        <v>#N/A</v>
      </c>
      <c r="S67" s="404">
        <f>B66</f>
        <v>38</v>
      </c>
      <c r="T67" s="287" t="e">
        <f>$A66</f>
        <v>#N/A</v>
      </c>
      <c r="U67" s="287">
        <v>2</v>
      </c>
      <c r="V67" s="287" t="e">
        <f>$A66</f>
        <v>#N/A</v>
      </c>
      <c r="W67" s="449"/>
      <c r="X67" s="307"/>
      <c r="Y67" s="307"/>
      <c r="Z67" s="307"/>
      <c r="AA67" s="307"/>
      <c r="AB67" s="307"/>
      <c r="AC67" s="307"/>
      <c r="AD67" s="450"/>
      <c r="AE67" s="450"/>
      <c r="AF67" s="450"/>
      <c r="AH67" s="231"/>
      <c r="AI67" s="231"/>
      <c r="AJ67" s="404">
        <v>452</v>
      </c>
      <c r="AK67" s="231"/>
    </row>
    <row r="68" spans="1:37" s="280" customFormat="1" ht="13.2" customHeight="1" x14ac:dyDescent="0.35">
      <c r="A68" s="231"/>
      <c r="B68" s="404"/>
      <c r="C68" s="457" t="e">
        <f>VLOOKUP(B66,Уч!$A$2:$L$34,7,FALSE)</f>
        <v>#N/A</v>
      </c>
      <c r="D68" s="444"/>
      <c r="E68" s="509" t="s">
        <v>29</v>
      </c>
      <c r="F68" s="458" t="e">
        <f>VLOOKUP($B66,'100 м 1'!$C$18:$I$87,7,FALSE)</f>
        <v>#N/A</v>
      </c>
      <c r="G68" s="404" t="e">
        <f>VLOOKUP($B66,'длина 2 '!$C$16:$O$54,13,FALSE)</f>
        <v>#N/A</v>
      </c>
      <c r="H68" s="473" t="e">
        <f>VLOOKUP($B66,'ядро 2'!$C$16:$K$60,9,FALSE)</f>
        <v>#N/A</v>
      </c>
      <c r="I68" s="473" t="e">
        <f>VLOOKUP($B66,'высота 2'!$C$16:$AF$57,30,)</f>
        <v>#N/A</v>
      </c>
      <c r="J68" s="479" t="e">
        <f>VLOOKUP($B66,'4_р'!$C$17:$H$73,6,FALSE)</f>
        <v>#N/A</v>
      </c>
      <c r="K68" s="473">
        <f>VLOOKUP($B66,'1cб_р'!$C$17:$I$67,7,FALSE)</f>
        <v>0</v>
      </c>
      <c r="L68" s="473">
        <f>VLOOKUP($B66,Дс_р!$C$16:$K$70,9,FALSE)</f>
        <v>0</v>
      </c>
      <c r="M68" s="473">
        <f>VLOOKUP($B66,Ш_р!$C$15:$AF$69,30,FALSE)</f>
        <v>0</v>
      </c>
      <c r="N68" s="473">
        <f>VLOOKUP($B66,К_р!$C$15:$K$68,9,FALSE)</f>
        <v>0</v>
      </c>
      <c r="O68" s="473">
        <f>VLOOKUP($B66,'15_р'!$C$17:$H$86,6,FALSE)</f>
        <v>0</v>
      </c>
      <c r="P68" s="448"/>
      <c r="Q68" s="493"/>
      <c r="R68" s="372"/>
      <c r="S68" s="404">
        <f>B66</f>
        <v>38</v>
      </c>
      <c r="T68" s="287" t="e">
        <f>$A66</f>
        <v>#N/A</v>
      </c>
      <c r="U68" s="287">
        <v>3</v>
      </c>
      <c r="V68" s="287" t="e">
        <f>$A66</f>
        <v>#N/A</v>
      </c>
      <c r="W68" s="449"/>
      <c r="X68" s="307"/>
      <c r="Y68" s="307"/>
      <c r="Z68" s="307"/>
      <c r="AA68" s="307"/>
      <c r="AB68" s="307"/>
      <c r="AC68" s="307"/>
      <c r="AD68" s="450"/>
      <c r="AE68" s="450"/>
      <c r="AF68" s="450"/>
      <c r="AH68" s="231"/>
      <c r="AI68" s="231"/>
      <c r="AJ68" s="404">
        <v>452</v>
      </c>
      <c r="AK68" s="231"/>
    </row>
    <row r="69" spans="1:37" s="280" customFormat="1" ht="13.2" customHeight="1" x14ac:dyDescent="0.35">
      <c r="A69" s="231"/>
      <c r="B69" s="404"/>
      <c r="C69" s="451" t="e">
        <f>VLOOKUP(B66,Уч!$A$2:$L$34,11,FALSE)</f>
        <v>#N/A</v>
      </c>
      <c r="D69" s="444"/>
      <c r="E69" s="509" t="s">
        <v>276</v>
      </c>
      <c r="F69" s="458" t="e">
        <f>F68</f>
        <v>#N/A</v>
      </c>
      <c r="G69" s="404" t="e">
        <f>F69+G68</f>
        <v>#N/A</v>
      </c>
      <c r="H69" s="473" t="e">
        <f>G69+H68</f>
        <v>#N/A</v>
      </c>
      <c r="I69" s="473" t="e">
        <f>H69+I68</f>
        <v>#N/A</v>
      </c>
      <c r="J69" s="479" t="e">
        <f>SUM($F68:J68)</f>
        <v>#N/A</v>
      </c>
      <c r="K69" s="473" t="e">
        <f>SUM($F68:$K68)</f>
        <v>#N/A</v>
      </c>
      <c r="L69" s="473" t="e">
        <f>K69+L68</f>
        <v>#N/A</v>
      </c>
      <c r="M69" s="473" t="e">
        <f>L69+M68</f>
        <v>#N/A</v>
      </c>
      <c r="N69" s="473" t="e">
        <f>SUM($F68:$N68)</f>
        <v>#N/A</v>
      </c>
      <c r="O69" s="473" t="e">
        <f>SUM($F68:$O68)</f>
        <v>#N/A</v>
      </c>
      <c r="P69" s="448"/>
      <c r="Q69" s="303"/>
      <c r="R69" s="372"/>
      <c r="S69" s="404">
        <f>B66</f>
        <v>38</v>
      </c>
      <c r="T69" s="287" t="e">
        <f>$A66</f>
        <v>#N/A</v>
      </c>
      <c r="U69" s="287">
        <v>4</v>
      </c>
      <c r="V69" s="287" t="e">
        <f>$A66</f>
        <v>#N/A</v>
      </c>
      <c r="W69" s="372" t="e">
        <f t="shared" ref="W69:AF69" si="10">F69</f>
        <v>#N/A</v>
      </c>
      <c r="X69" s="372" t="e">
        <f t="shared" si="10"/>
        <v>#N/A</v>
      </c>
      <c r="Y69" s="372" t="e">
        <f t="shared" si="10"/>
        <v>#N/A</v>
      </c>
      <c r="Z69" s="372" t="e">
        <f t="shared" si="10"/>
        <v>#N/A</v>
      </c>
      <c r="AA69" s="372" t="e">
        <f t="shared" si="10"/>
        <v>#N/A</v>
      </c>
      <c r="AB69" s="372" t="e">
        <f t="shared" si="10"/>
        <v>#N/A</v>
      </c>
      <c r="AC69" s="372" t="e">
        <f t="shared" si="10"/>
        <v>#N/A</v>
      </c>
      <c r="AD69" s="372" t="e">
        <f t="shared" si="10"/>
        <v>#N/A</v>
      </c>
      <c r="AE69" s="372" t="e">
        <f t="shared" si="10"/>
        <v>#N/A</v>
      </c>
      <c r="AF69" s="372" t="e">
        <f t="shared" si="10"/>
        <v>#N/A</v>
      </c>
      <c r="AH69" s="231"/>
      <c r="AI69" s="231"/>
      <c r="AJ69" s="404">
        <v>452</v>
      </c>
      <c r="AK69" s="231"/>
    </row>
    <row r="70" spans="1:37" s="280" customFormat="1" ht="13.2" customHeight="1" thickBot="1" x14ac:dyDescent="0.3">
      <c r="A70" s="460"/>
      <c r="B70" s="461"/>
      <c r="C70" s="462" t="e">
        <f>VLOOKUP(B66,Уч!$A$2:$L$34,12,FALSE)</f>
        <v>#N/A</v>
      </c>
      <c r="D70" s="467"/>
      <c r="E70" s="510" t="s">
        <v>59</v>
      </c>
      <c r="F70" s="464" t="e">
        <f>RANK(F69,$W$19:$W$85,0)</f>
        <v>#N/A</v>
      </c>
      <c r="G70" s="461" t="e">
        <f>RANK(G69,$X$19:$X$85,0)</f>
        <v>#N/A</v>
      </c>
      <c r="H70" s="481" t="e">
        <f>RANK(H69,$Y$19:$Y$85,0)</f>
        <v>#N/A</v>
      </c>
      <c r="I70" s="481" t="e">
        <f>RANK(I69,$Z$19:$Z$85,0)</f>
        <v>#N/A</v>
      </c>
      <c r="J70" s="482" t="e">
        <f>RANK(J69,$AA$19:$AA$85,0)</f>
        <v>#N/A</v>
      </c>
      <c r="K70" s="481" t="e">
        <f>RANK(K69,$AB$19:$AB$85,0)</f>
        <v>#N/A</v>
      </c>
      <c r="L70" s="481" t="e">
        <f>RANK(L69,$AC$19:$AC$85,0)</f>
        <v>#N/A</v>
      </c>
      <c r="M70" s="481" t="e">
        <f>RANK(M69,$AD$19:$AD$85,0)</f>
        <v>#N/A</v>
      </c>
      <c r="N70" s="481" t="e">
        <f>RANK(N69,$AE$19:$AE$85,0)</f>
        <v>#N/A</v>
      </c>
      <c r="O70" s="481" t="e">
        <f>RANK(O69,$AF$19:$AF$85,0)</f>
        <v>#N/A</v>
      </c>
      <c r="P70" s="466"/>
      <c r="Q70" s="495"/>
      <c r="R70" s="442"/>
      <c r="S70" s="205">
        <f>B66</f>
        <v>38</v>
      </c>
      <c r="T70" s="287" t="e">
        <f>$A66</f>
        <v>#N/A</v>
      </c>
      <c r="U70" s="287">
        <v>5</v>
      </c>
      <c r="V70" s="287" t="e">
        <f>$A66</f>
        <v>#N/A</v>
      </c>
      <c r="W70" s="449"/>
      <c r="X70" s="307"/>
      <c r="Y70" s="307"/>
      <c r="Z70" s="307"/>
      <c r="AA70" s="307"/>
      <c r="AB70" s="307"/>
      <c r="AC70" s="307"/>
      <c r="AD70" s="450"/>
      <c r="AE70" s="450"/>
      <c r="AF70" s="450"/>
      <c r="AH70" s="231"/>
      <c r="AI70" s="231"/>
      <c r="AJ70" s="404">
        <v>452</v>
      </c>
      <c r="AK70" s="231"/>
    </row>
    <row r="71" spans="1:37" s="280" customFormat="1" ht="13.2" customHeight="1" thickTop="1" x14ac:dyDescent="0.35">
      <c r="A71" s="469" t="e">
        <f>RANK(P71,$P$16:$P$85,0)</f>
        <v>#N/A</v>
      </c>
      <c r="B71" s="404">
        <v>39</v>
      </c>
      <c r="C71" s="443" t="str">
        <f>VLOOKUP(B71,Уч!$A$2:$L$34,2,FALSE)</f>
        <v>Левковский Андрей</v>
      </c>
      <c r="D71" s="444" t="str">
        <f>VLOOKUP(B71,Уч!$A$2:$L$34,3,FALSE)</f>
        <v>17.08.1997</v>
      </c>
      <c r="E71" s="509" t="s">
        <v>19</v>
      </c>
      <c r="F71" s="445">
        <f>VLOOKUP($B71,'100 м 1'!$C$18:$I$87,5,FALSE)</f>
        <v>11.7</v>
      </c>
      <c r="G71" s="446" t="e">
        <f>VLOOKUP($B71,'длина 2 '!$C$16:$O$54,11,FALSE)</f>
        <v>#N/A</v>
      </c>
      <c r="H71" s="471" t="e">
        <f>VLOOKUP($B71,'ядро 2'!$C$16:$K$60,8,FALSE)</f>
        <v>#N/A</v>
      </c>
      <c r="I71" s="471" t="e">
        <f>VLOOKUP($B71,'высота 2'!$C$16:$AF$57,29,FALSE)</f>
        <v>#N/A</v>
      </c>
      <c r="J71" s="472">
        <f>VLOOKUP($B71,'4_р'!$C$17:$H$73,5,FALSE)</f>
        <v>49.03</v>
      </c>
      <c r="K71" s="471">
        <f>VLOOKUP($B71,'1cб_р'!$C$17:$I$67,5,FALSE)</f>
        <v>15.49</v>
      </c>
      <c r="L71" s="471">
        <f>VLOOKUP($B71,Дс_р!$C$16:$K$70,8,FALSE)</f>
        <v>39.51</v>
      </c>
      <c r="M71" s="471">
        <f>VLOOKUP($B71,Ш_р!$C$15:$AF$69,29,FALSE)</f>
        <v>4.2</v>
      </c>
      <c r="N71" s="471">
        <f>VLOOKUP($B71,К_р!$C$15:$K$68,8,FALSE)</f>
        <v>51.08</v>
      </c>
      <c r="O71" s="473" t="str">
        <f>VLOOKUP($B71,'15_р'!$C$17:$H$86,5,FALSE)</f>
        <v>4:35.36</v>
      </c>
      <c r="P71" s="491" t="e">
        <f>SUM(F73:O73)</f>
        <v>#N/A</v>
      </c>
      <c r="Q71" s="469" t="e">
        <f>LOOKUP(P71,Y$1:AH$1,Y$2:AH$2)</f>
        <v>#N/A</v>
      </c>
      <c r="R71" s="404">
        <v>0</v>
      </c>
      <c r="S71" s="404">
        <f>B71</f>
        <v>39</v>
      </c>
      <c r="T71" s="287" t="e">
        <f>$A71</f>
        <v>#N/A</v>
      </c>
      <c r="U71" s="287">
        <v>1</v>
      </c>
      <c r="V71" s="287" t="e">
        <f>$A71</f>
        <v>#N/A</v>
      </c>
      <c r="W71" s="449"/>
      <c r="X71" s="307"/>
      <c r="Y71" s="307"/>
      <c r="Z71" s="307"/>
      <c r="AA71" s="307"/>
      <c r="AB71" s="307"/>
      <c r="AC71" s="307"/>
      <c r="AD71" s="450"/>
      <c r="AE71" s="450"/>
      <c r="AF71" s="450"/>
      <c r="AH71" s="280" t="e">
        <f>IF(AND(T71&gt;16,P71&gt;=5500),"1",LOOKUP(T71,Y$5:AO$5,Y$6:AO$6))</f>
        <v>#N/A</v>
      </c>
      <c r="AI71" s="280" t="e">
        <f>LOOKUP(Q71,Y$8:AD$8,Y$9:AD$9)</f>
        <v>#N/A</v>
      </c>
      <c r="AJ71" s="404">
        <v>505</v>
      </c>
      <c r="AK71" s="231"/>
    </row>
    <row r="72" spans="1:37" s="280" customFormat="1" ht="13.2" customHeight="1" x14ac:dyDescent="0.35">
      <c r="A72" s="231"/>
      <c r="B72" s="404"/>
      <c r="C72" s="451" t="str">
        <f>VLOOKUP(B71,Уч!$A$2:$L$34,5,FALSE)</f>
        <v xml:space="preserve">Кемеровская область  </v>
      </c>
      <c r="D72" s="444" t="str">
        <f>VLOOKUP(B71,Уч!$A$2:$L$34,4,FALSE)</f>
        <v>МС</v>
      </c>
      <c r="E72" s="509" t="s">
        <v>25</v>
      </c>
      <c r="F72" s="453">
        <f>VLOOKUP($B71,'100 м 1'!$C$18:$I$87,6,FALSE)</f>
        <v>0.1</v>
      </c>
      <c r="G72" s="454" t="e">
        <f>VLOOKUP($B71,'длина 2 '!$C$16:$O$54,12,FALSE)</f>
        <v>#N/A</v>
      </c>
      <c r="H72" s="473"/>
      <c r="I72" s="476"/>
      <c r="J72" s="477"/>
      <c r="K72" s="476">
        <f>VLOOKUP($B71,'1cб_р'!$C$17:$I$67,6,FALSE)</f>
        <v>0</v>
      </c>
      <c r="L72" s="476"/>
      <c r="M72" s="476"/>
      <c r="N72" s="473"/>
      <c r="O72" s="473"/>
      <c r="P72" s="448"/>
      <c r="Q72" s="303"/>
      <c r="R72" s="473" t="e">
        <f>CONCATENATE(AH71,"+",AI71,"+",5)</f>
        <v>#N/A</v>
      </c>
      <c r="S72" s="404">
        <f>B71</f>
        <v>39</v>
      </c>
      <c r="T72" s="287" t="e">
        <f>$A71</f>
        <v>#N/A</v>
      </c>
      <c r="U72" s="287">
        <v>2</v>
      </c>
      <c r="V72" s="287" t="e">
        <f>$A71</f>
        <v>#N/A</v>
      </c>
      <c r="W72" s="449"/>
      <c r="X72" s="307"/>
      <c r="Y72" s="307"/>
      <c r="Z72" s="307"/>
      <c r="AA72" s="307"/>
      <c r="AB72" s="307"/>
      <c r="AC72" s="307"/>
      <c r="AD72" s="450"/>
      <c r="AE72" s="450"/>
      <c r="AF72" s="450"/>
      <c r="AH72" s="231"/>
      <c r="AI72" s="231"/>
      <c r="AJ72" s="404">
        <v>505</v>
      </c>
      <c r="AK72" s="231"/>
    </row>
    <row r="73" spans="1:37" s="280" customFormat="1" ht="13.2" customHeight="1" x14ac:dyDescent="0.35">
      <c r="A73" s="231"/>
      <c r="B73" s="404"/>
      <c r="C73" s="457" t="str">
        <f>VLOOKUP(B71,Уч!$A$2:$L$34,7,FALSE)</f>
        <v>ГБФСУ КО "СШОР по легкой атлетике им. В.А.Савенкова"</v>
      </c>
      <c r="D73" s="444"/>
      <c r="E73" s="509" t="s">
        <v>29</v>
      </c>
      <c r="F73" s="458">
        <f>VLOOKUP($B71,'100 м 1'!$C$18:$I$87,7,FALSE)</f>
        <v>711</v>
      </c>
      <c r="G73" s="404" t="e">
        <f>VLOOKUP($B71,'длина 2 '!$C$16:$O$54,13,FALSE)</f>
        <v>#N/A</v>
      </c>
      <c r="H73" s="473" t="e">
        <f>VLOOKUP($B71,'ядро 2'!$C$16:$K$60,9,FALSE)</f>
        <v>#N/A</v>
      </c>
      <c r="I73" s="473" t="e">
        <f>VLOOKUP($B71,'высота 2'!$C$16:$AF$57,30,)</f>
        <v>#N/A</v>
      </c>
      <c r="J73" s="479">
        <f>VLOOKUP($B71,'4_р'!$C$17:$H$73,6,FALSE)</f>
        <v>860</v>
      </c>
      <c r="K73" s="473">
        <f>VLOOKUP($B71,'1cб_р'!$C$17:$I$67,7,FALSE)</f>
        <v>791</v>
      </c>
      <c r="L73" s="473">
        <f>VLOOKUP($B71,Дс_р!$C$16:$K$70,9,FALSE)</f>
        <v>655</v>
      </c>
      <c r="M73" s="473">
        <f>VLOOKUP($B71,Ш_р!$C$15:$AF$69,30,FALSE)</f>
        <v>673</v>
      </c>
      <c r="N73" s="473">
        <f>VLOOKUP($B71,К_р!$C$15:$K$68,9,FALSE)</f>
        <v>605</v>
      </c>
      <c r="O73" s="473">
        <f>VLOOKUP($B71,'15_р'!$C$17:$H$86,6,FALSE)</f>
        <v>710</v>
      </c>
      <c r="P73" s="448"/>
      <c r="Q73" s="306"/>
      <c r="R73" s="372"/>
      <c r="S73" s="404">
        <f>B71</f>
        <v>39</v>
      </c>
      <c r="T73" s="287" t="e">
        <f>$A71</f>
        <v>#N/A</v>
      </c>
      <c r="U73" s="287">
        <v>3</v>
      </c>
      <c r="V73" s="287" t="e">
        <f>$A71</f>
        <v>#N/A</v>
      </c>
      <c r="W73" s="449"/>
      <c r="X73" s="307"/>
      <c r="Y73" s="307"/>
      <c r="Z73" s="307"/>
      <c r="AA73" s="307"/>
      <c r="AB73" s="307"/>
      <c r="AC73" s="307"/>
      <c r="AD73" s="450"/>
      <c r="AE73" s="450"/>
      <c r="AF73" s="450"/>
      <c r="AH73" s="231"/>
      <c r="AI73" s="231"/>
      <c r="AJ73" s="404">
        <v>505</v>
      </c>
      <c r="AK73" s="231"/>
    </row>
    <row r="74" spans="1:37" s="280" customFormat="1" ht="13.2" customHeight="1" x14ac:dyDescent="0.35">
      <c r="A74" s="231"/>
      <c r="B74" s="404"/>
      <c r="C74" s="451" t="str">
        <f>VLOOKUP(B71,Уч!$A$2:$L$34,11,FALSE)</f>
        <v>Канашевич А.М., Ермишина Л.И., Ермишин Г.Н.</v>
      </c>
      <c r="D74" s="444"/>
      <c r="E74" s="509" t="s">
        <v>276</v>
      </c>
      <c r="F74" s="458">
        <f>F73</f>
        <v>711</v>
      </c>
      <c r="G74" s="404" t="e">
        <f>F74+G73</f>
        <v>#N/A</v>
      </c>
      <c r="H74" s="473" t="e">
        <f>G74+H73</f>
        <v>#N/A</v>
      </c>
      <c r="I74" s="473" t="e">
        <f>H74+I73</f>
        <v>#N/A</v>
      </c>
      <c r="J74" s="479" t="e">
        <f>SUM($F73:J73)</f>
        <v>#N/A</v>
      </c>
      <c r="K74" s="473" t="e">
        <f>SUM($F73:$K73)</f>
        <v>#N/A</v>
      </c>
      <c r="L74" s="473" t="e">
        <f>K74+L73</f>
        <v>#N/A</v>
      </c>
      <c r="M74" s="473" t="e">
        <f>L74+M73</f>
        <v>#N/A</v>
      </c>
      <c r="N74" s="473" t="e">
        <f>SUM($F73:$N73)</f>
        <v>#N/A</v>
      </c>
      <c r="O74" s="473" t="e">
        <f>SUM($F73:$O73)</f>
        <v>#N/A</v>
      </c>
      <c r="P74" s="448"/>
      <c r="Q74" s="306"/>
      <c r="R74" s="372"/>
      <c r="S74" s="404">
        <f>B71</f>
        <v>39</v>
      </c>
      <c r="T74" s="287" t="e">
        <f>$A71</f>
        <v>#N/A</v>
      </c>
      <c r="U74" s="287">
        <v>4</v>
      </c>
      <c r="V74" s="287" t="e">
        <f>$A71</f>
        <v>#N/A</v>
      </c>
      <c r="W74" s="372">
        <f t="shared" ref="W74:AF74" si="11">F74</f>
        <v>711</v>
      </c>
      <c r="X74" s="372" t="e">
        <f t="shared" si="11"/>
        <v>#N/A</v>
      </c>
      <c r="Y74" s="372" t="e">
        <f t="shared" si="11"/>
        <v>#N/A</v>
      </c>
      <c r="Z74" s="372" t="e">
        <f t="shared" si="11"/>
        <v>#N/A</v>
      </c>
      <c r="AA74" s="372" t="e">
        <f t="shared" si="11"/>
        <v>#N/A</v>
      </c>
      <c r="AB74" s="372" t="e">
        <f t="shared" si="11"/>
        <v>#N/A</v>
      </c>
      <c r="AC74" s="372" t="e">
        <f t="shared" si="11"/>
        <v>#N/A</v>
      </c>
      <c r="AD74" s="372" t="e">
        <f t="shared" si="11"/>
        <v>#N/A</v>
      </c>
      <c r="AE74" s="372" t="e">
        <f t="shared" si="11"/>
        <v>#N/A</v>
      </c>
      <c r="AF74" s="372" t="e">
        <f t="shared" si="11"/>
        <v>#N/A</v>
      </c>
      <c r="AH74" s="231"/>
      <c r="AI74" s="231"/>
      <c r="AJ74" s="404">
        <v>505</v>
      </c>
      <c r="AK74" s="231"/>
    </row>
    <row r="75" spans="1:37" s="280" customFormat="1" ht="13.2" customHeight="1" thickBot="1" x14ac:dyDescent="0.3">
      <c r="A75" s="460"/>
      <c r="B75" s="461"/>
      <c r="C75" s="462">
        <f>VLOOKUP(B71,Уч!$A$2:$L$34,12,FALSE)</f>
        <v>0</v>
      </c>
      <c r="D75" s="467"/>
      <c r="E75" s="510" t="s">
        <v>59</v>
      </c>
      <c r="F75" s="464" t="e">
        <f>RANK(F74,$W$19:$W$85,0)</f>
        <v>#N/A</v>
      </c>
      <c r="G75" s="461" t="e">
        <f>RANK(G74,$X$19:$X$85,0)</f>
        <v>#N/A</v>
      </c>
      <c r="H75" s="481" t="e">
        <f>RANK(H74,$Y$19:$Y$85,0)</f>
        <v>#N/A</v>
      </c>
      <c r="I75" s="481" t="e">
        <f>RANK(I74,$Z$19:$Z$85,0)</f>
        <v>#N/A</v>
      </c>
      <c r="J75" s="482" t="e">
        <f>RANK(J74,$AA$19:$AA$85,0)</f>
        <v>#N/A</v>
      </c>
      <c r="K75" s="481" t="e">
        <f>RANK(K74,$AB$19:$AB$85,0)</f>
        <v>#N/A</v>
      </c>
      <c r="L75" s="481" t="e">
        <f>RANK(L74,$AC$19:$AC$85,0)</f>
        <v>#N/A</v>
      </c>
      <c r="M75" s="481" t="e">
        <f>RANK(M74,$AD$19:$AD$85,0)</f>
        <v>#N/A</v>
      </c>
      <c r="N75" s="481" t="e">
        <f>RANK(N74,$AE$19:$AE$85,0)</f>
        <v>#N/A</v>
      </c>
      <c r="O75" s="481" t="e">
        <f>RANK(O74,$AF$19:$AF$85,0)</f>
        <v>#N/A</v>
      </c>
      <c r="P75" s="466"/>
      <c r="Q75" s="495"/>
      <c r="R75" s="442"/>
      <c r="S75" s="205">
        <f>B71</f>
        <v>39</v>
      </c>
      <c r="T75" s="287" t="e">
        <f>$A71</f>
        <v>#N/A</v>
      </c>
      <c r="U75" s="287">
        <v>5</v>
      </c>
      <c r="V75" s="287" t="e">
        <f>$A71</f>
        <v>#N/A</v>
      </c>
      <c r="W75" s="449"/>
      <c r="X75" s="307"/>
      <c r="Y75" s="307"/>
      <c r="Z75" s="307"/>
      <c r="AA75" s="307"/>
      <c r="AB75" s="307"/>
      <c r="AC75" s="307"/>
      <c r="AD75" s="450"/>
      <c r="AE75" s="450"/>
      <c r="AF75" s="450"/>
      <c r="AH75" s="231"/>
      <c r="AI75" s="231"/>
      <c r="AJ75" s="404">
        <v>505</v>
      </c>
      <c r="AK75" s="231"/>
    </row>
    <row r="76" spans="1:37" s="280" customFormat="1" ht="13.2" customHeight="1" thickTop="1" x14ac:dyDescent="0.35">
      <c r="A76" s="469" t="e">
        <f>RANK(P76,$P$16:$P$85,0)</f>
        <v>#N/A</v>
      </c>
      <c r="B76" s="404">
        <v>41</v>
      </c>
      <c r="C76" s="443" t="str">
        <f>VLOOKUP(B76,Уч!$A$2:$L$34,2,FALSE)</f>
        <v>Фомичев Андрей</v>
      </c>
      <c r="D76" s="444" t="str">
        <f>VLOOKUP(B76,Уч!$A$2:$L$34,3,FALSE)</f>
        <v>15.12.1996</v>
      </c>
      <c r="E76" s="509" t="s">
        <v>19</v>
      </c>
      <c r="F76" s="445">
        <f>VLOOKUP($B76,'100 м 1'!$C$18:$I$87,5,FALSE)</f>
        <v>11.3</v>
      </c>
      <c r="G76" s="471" t="e">
        <f>VLOOKUP($B76,'длина 2 '!$C$16:$O$54,11,FALSE)</f>
        <v>#N/A</v>
      </c>
      <c r="H76" s="471" t="e">
        <f>VLOOKUP($B76,'ядро 2'!$C$16:$K$60,8,FALSE)</f>
        <v>#N/A</v>
      </c>
      <c r="I76" s="471">
        <f>VLOOKUP($B76,'высота 2'!$C$16:$AF$57,29,FALSE)</f>
        <v>2</v>
      </c>
      <c r="J76" s="472">
        <f>VLOOKUP($B76,'4_р'!$C$17:$H$73,5,FALSE)</f>
        <v>52.48</v>
      </c>
      <c r="K76" s="471">
        <f>VLOOKUP($B76,'1cб_р'!$C$17:$I$67,5,FALSE)</f>
        <v>16.12</v>
      </c>
      <c r="L76" s="471">
        <f>VLOOKUP($B76,Дс_р!$C$16:$K$70,8,FALSE)</f>
        <v>33.42</v>
      </c>
      <c r="M76" s="471">
        <f>VLOOKUP($B76,Ш_р!$C$15:$AF$69,29,FALSE)</f>
        <v>4.3</v>
      </c>
      <c r="N76" s="471">
        <f>VLOOKUP($B76,К_р!$C$15:$K$68,8,FALSE)</f>
        <v>46.12</v>
      </c>
      <c r="O76" s="473" t="str">
        <f>VLOOKUP($B76,'15_р'!$C$17:$H$86,5,FALSE)</f>
        <v>4:52.72</v>
      </c>
      <c r="P76" s="491" t="e">
        <f>SUM(F78:O78)</f>
        <v>#N/A</v>
      </c>
      <c r="Q76" s="469" t="e">
        <f>LOOKUP(P76,Y$1:AH$1,Y$2:AH$2)</f>
        <v>#N/A</v>
      </c>
      <c r="R76" s="404">
        <v>0</v>
      </c>
      <c r="S76" s="404">
        <f>B76</f>
        <v>41</v>
      </c>
      <c r="T76" s="287" t="e">
        <f>$A76</f>
        <v>#N/A</v>
      </c>
      <c r="U76" s="287">
        <v>1</v>
      </c>
      <c r="V76" s="287" t="e">
        <f>$A76</f>
        <v>#N/A</v>
      </c>
      <c r="W76" s="449"/>
      <c r="X76" s="307"/>
      <c r="Y76" s="307"/>
      <c r="Z76" s="307"/>
      <c r="AA76" s="307"/>
      <c r="AB76" s="307"/>
      <c r="AC76" s="307"/>
      <c r="AD76" s="450"/>
      <c r="AE76" s="450"/>
      <c r="AF76" s="450"/>
      <c r="AH76" s="280" t="e">
        <f>IF(AND(T76&gt;16,P76&gt;=5500),"1",LOOKUP(T76,Y$5:AO$5,Y$6:AO$6))</f>
        <v>#N/A</v>
      </c>
      <c r="AI76" s="280" t="e">
        <f>LOOKUP(Q76,Y$8:AD$8,Y$9:AD$9)</f>
        <v>#N/A</v>
      </c>
      <c r="AJ76" s="404">
        <v>505</v>
      </c>
      <c r="AK76" s="231"/>
    </row>
    <row r="77" spans="1:37" s="280" customFormat="1" ht="13.2" customHeight="1" x14ac:dyDescent="0.35">
      <c r="A77" s="231"/>
      <c r="B77" s="404"/>
      <c r="C77" s="451" t="str">
        <f>VLOOKUP(B76,Уч!$A$2:$L$34,5,FALSE)</f>
        <v xml:space="preserve">Кемеровская область  </v>
      </c>
      <c r="D77" s="444" t="str">
        <f>VLOOKUP(B76,Уч!$A$2:$L$34,4,FALSE)</f>
        <v>МС</v>
      </c>
      <c r="E77" s="509" t="s">
        <v>25</v>
      </c>
      <c r="F77" s="453">
        <f>VLOOKUP($B76,'100 м 1'!$C$18:$I$87,6,FALSE)</f>
        <v>0.1</v>
      </c>
      <c r="G77" s="476" t="e">
        <f>VLOOKUP($B76,'длина 2 '!$C$16:$O$54,12,FALSE)</f>
        <v>#N/A</v>
      </c>
      <c r="H77" s="473"/>
      <c r="I77" s="476"/>
      <c r="J77" s="477"/>
      <c r="K77" s="476">
        <f>VLOOKUP($B76,'1cб_р'!$C$17:$I$67,6,FALSE)</f>
        <v>-1.5</v>
      </c>
      <c r="L77" s="476"/>
      <c r="M77" s="476"/>
      <c r="N77" s="473"/>
      <c r="O77" s="473"/>
      <c r="P77" s="448"/>
      <c r="Q77" s="303"/>
      <c r="R77" s="473" t="e">
        <f>CONCATENATE(AH76,"+",AI76,"+",5)</f>
        <v>#N/A</v>
      </c>
      <c r="S77" s="404">
        <f>B76</f>
        <v>41</v>
      </c>
      <c r="T77" s="287" t="e">
        <f>$A76</f>
        <v>#N/A</v>
      </c>
      <c r="U77" s="287">
        <v>2</v>
      </c>
      <c r="V77" s="287" t="e">
        <f>$A76</f>
        <v>#N/A</v>
      </c>
      <c r="W77" s="449"/>
      <c r="X77" s="307"/>
      <c r="Y77" s="307"/>
      <c r="Z77" s="307"/>
      <c r="AA77" s="307"/>
      <c r="AB77" s="307"/>
      <c r="AC77" s="307"/>
      <c r="AD77" s="450"/>
      <c r="AE77" s="450"/>
      <c r="AF77" s="450"/>
      <c r="AH77" s="231"/>
      <c r="AI77" s="231"/>
      <c r="AJ77" s="404">
        <v>505</v>
      </c>
      <c r="AK77" s="231"/>
    </row>
    <row r="78" spans="1:37" s="280" customFormat="1" ht="13.2" customHeight="1" x14ac:dyDescent="0.35">
      <c r="A78" s="231"/>
      <c r="B78" s="404"/>
      <c r="C78" s="457" t="str">
        <f>VLOOKUP(B76,Уч!$A$2:$L$34,7,FALSE)</f>
        <v>ГБФСУ КО "СШОР по легкой атлетике им. В.А.Савенкова", ГАУ КО "ЦП ССК"</v>
      </c>
      <c r="D78" s="444"/>
      <c r="E78" s="509" t="s">
        <v>29</v>
      </c>
      <c r="F78" s="458">
        <f>VLOOKUP($B76,'100 м 1'!$C$18:$I$87,7,FALSE)</f>
        <v>795</v>
      </c>
      <c r="G78" s="473" t="e">
        <f>VLOOKUP($B76,'длина 2 '!$C$16:$O$54,13,FALSE)</f>
        <v>#N/A</v>
      </c>
      <c r="H78" s="473" t="e">
        <f>VLOOKUP($B76,'ядро 2'!$C$16:$K$60,9,FALSE)</f>
        <v>#N/A</v>
      </c>
      <c r="I78" s="473">
        <f>VLOOKUP($B76,'высота 2'!$C$16:$AF$57,30,)</f>
        <v>0</v>
      </c>
      <c r="J78" s="479">
        <f>VLOOKUP($B76,'4_р'!$C$17:$H$73,6,FALSE)</f>
        <v>704</v>
      </c>
      <c r="K78" s="473">
        <f>VLOOKUP($B76,'1cб_р'!$C$17:$I$67,7,FALSE)</f>
        <v>719</v>
      </c>
      <c r="L78" s="473">
        <f>VLOOKUP($B76,Дс_р!$C$16:$K$70,9,FALSE)</f>
        <v>532</v>
      </c>
      <c r="M78" s="473">
        <f>VLOOKUP($B76,Ш_р!$C$15:$AF$69,30,FALSE)</f>
        <v>702</v>
      </c>
      <c r="N78" s="473">
        <f>VLOOKUP($B76,К_р!$C$15:$K$68,9,FALSE)</f>
        <v>531</v>
      </c>
      <c r="O78" s="473">
        <f>VLOOKUP($B76,'15_р'!$C$17:$H$86,6,FALSE)</f>
        <v>602</v>
      </c>
      <c r="P78" s="448"/>
      <c r="Q78" s="306"/>
      <c r="R78" s="372"/>
      <c r="S78" s="404">
        <f>B76</f>
        <v>41</v>
      </c>
      <c r="T78" s="287" t="e">
        <f>$A76</f>
        <v>#N/A</v>
      </c>
      <c r="U78" s="287">
        <v>3</v>
      </c>
      <c r="V78" s="287" t="e">
        <f>$A76</f>
        <v>#N/A</v>
      </c>
      <c r="W78" s="449"/>
      <c r="X78" s="307"/>
      <c r="Y78" s="307"/>
      <c r="Z78" s="307"/>
      <c r="AA78" s="307"/>
      <c r="AB78" s="307"/>
      <c r="AC78" s="307"/>
      <c r="AD78" s="450"/>
      <c r="AE78" s="450"/>
      <c r="AF78" s="450"/>
      <c r="AH78" s="231"/>
      <c r="AI78" s="231"/>
      <c r="AJ78" s="404">
        <v>505</v>
      </c>
      <c r="AK78" s="231"/>
    </row>
    <row r="79" spans="1:37" s="280" customFormat="1" ht="13.2" customHeight="1" x14ac:dyDescent="0.35">
      <c r="A79" s="231"/>
      <c r="B79" s="404"/>
      <c r="C79" s="451" t="str">
        <f>VLOOKUP(B76,Уч!$A$2:$L$34,11,FALSE)</f>
        <v>Хайлов С.Н., Фомичев В.Н.</v>
      </c>
      <c r="D79" s="444"/>
      <c r="E79" s="509" t="s">
        <v>276</v>
      </c>
      <c r="F79" s="458">
        <f>F78</f>
        <v>795</v>
      </c>
      <c r="G79" s="473" t="e">
        <f>F79+G78</f>
        <v>#N/A</v>
      </c>
      <c r="H79" s="473" t="e">
        <f>G79+H78</f>
        <v>#N/A</v>
      </c>
      <c r="I79" s="473" t="e">
        <f>H79+I78</f>
        <v>#N/A</v>
      </c>
      <c r="J79" s="479" t="e">
        <f>SUM($F78:J78)</f>
        <v>#N/A</v>
      </c>
      <c r="K79" s="473" t="e">
        <f>SUM($F78:$K78)</f>
        <v>#N/A</v>
      </c>
      <c r="L79" s="473" t="e">
        <f>K79+L78</f>
        <v>#N/A</v>
      </c>
      <c r="M79" s="473" t="e">
        <f>L79+M78</f>
        <v>#N/A</v>
      </c>
      <c r="N79" s="473" t="e">
        <f>SUM($F78:$N78)</f>
        <v>#N/A</v>
      </c>
      <c r="O79" s="473" t="e">
        <f>SUM($F78:$O78)</f>
        <v>#N/A</v>
      </c>
      <c r="P79" s="448"/>
      <c r="Q79" s="306"/>
      <c r="R79" s="372"/>
      <c r="S79" s="404">
        <f>B76</f>
        <v>41</v>
      </c>
      <c r="T79" s="287" t="e">
        <f>$A76</f>
        <v>#N/A</v>
      </c>
      <c r="U79" s="287">
        <v>4</v>
      </c>
      <c r="V79" s="287" t="e">
        <f>$A76</f>
        <v>#N/A</v>
      </c>
      <c r="W79" s="372">
        <f t="shared" ref="W79:AF79" si="12">F79</f>
        <v>795</v>
      </c>
      <c r="X79" s="372" t="e">
        <f t="shared" si="12"/>
        <v>#N/A</v>
      </c>
      <c r="Y79" s="372" t="e">
        <f t="shared" si="12"/>
        <v>#N/A</v>
      </c>
      <c r="Z79" s="372" t="e">
        <f t="shared" si="12"/>
        <v>#N/A</v>
      </c>
      <c r="AA79" s="372" t="e">
        <f t="shared" si="12"/>
        <v>#N/A</v>
      </c>
      <c r="AB79" s="372" t="e">
        <f t="shared" si="12"/>
        <v>#N/A</v>
      </c>
      <c r="AC79" s="372" t="e">
        <f t="shared" si="12"/>
        <v>#N/A</v>
      </c>
      <c r="AD79" s="372" t="e">
        <f t="shared" si="12"/>
        <v>#N/A</v>
      </c>
      <c r="AE79" s="372" t="e">
        <f t="shared" si="12"/>
        <v>#N/A</v>
      </c>
      <c r="AF79" s="372" t="e">
        <f t="shared" si="12"/>
        <v>#N/A</v>
      </c>
      <c r="AH79" s="231"/>
      <c r="AI79" s="231"/>
      <c r="AJ79" s="404">
        <v>505</v>
      </c>
      <c r="AK79" s="231"/>
    </row>
    <row r="80" spans="1:37" s="280" customFormat="1" ht="13.2" customHeight="1" thickBot="1" x14ac:dyDescent="0.3">
      <c r="A80" s="460"/>
      <c r="B80" s="461"/>
      <c r="C80" s="462">
        <f>VLOOKUP(B76,Уч!$A$2:$L$34,12,FALSE)</f>
        <v>0</v>
      </c>
      <c r="D80" s="467"/>
      <c r="E80" s="510" t="s">
        <v>59</v>
      </c>
      <c r="F80" s="464" t="e">
        <f>RANK(F79,$W$19:$W$85,0)</f>
        <v>#N/A</v>
      </c>
      <c r="G80" s="481" t="e">
        <f>RANK(G79,$X$19:$X$85,0)</f>
        <v>#N/A</v>
      </c>
      <c r="H80" s="481" t="e">
        <f>RANK(H79,$Y$19:$Y$85,0)</f>
        <v>#N/A</v>
      </c>
      <c r="I80" s="481" t="e">
        <f>RANK(I79,$Z$19:$Z$85,0)</f>
        <v>#N/A</v>
      </c>
      <c r="J80" s="482" t="e">
        <f>RANK(J79,$AA$19:$AA$85,0)</f>
        <v>#N/A</v>
      </c>
      <c r="K80" s="481" t="e">
        <f>RANK(K79,$AB$19:$AB$85,0)</f>
        <v>#N/A</v>
      </c>
      <c r="L80" s="481" t="e">
        <f>RANK(L79,$AC$19:$AC$85,0)</f>
        <v>#N/A</v>
      </c>
      <c r="M80" s="481" t="e">
        <f>RANK(M79,$AD$19:$AD$85,0)</f>
        <v>#N/A</v>
      </c>
      <c r="N80" s="481" t="e">
        <f>RANK(N79,$AE$19:$AE$85,0)</f>
        <v>#N/A</v>
      </c>
      <c r="O80" s="481" t="e">
        <f>RANK(O79,$AF$19:$AF$85,0)</f>
        <v>#N/A</v>
      </c>
      <c r="P80" s="466"/>
      <c r="Q80" s="495"/>
      <c r="R80" s="442"/>
      <c r="S80" s="205">
        <f>B76</f>
        <v>41</v>
      </c>
      <c r="T80" s="287" t="e">
        <f>$A76</f>
        <v>#N/A</v>
      </c>
      <c r="U80" s="287">
        <v>5</v>
      </c>
      <c r="V80" s="287" t="e">
        <f>$A76</f>
        <v>#N/A</v>
      </c>
      <c r="W80" s="449"/>
      <c r="X80" s="307"/>
      <c r="Y80" s="307"/>
      <c r="Z80" s="307"/>
      <c r="AA80" s="307"/>
      <c r="AB80" s="307"/>
      <c r="AC80" s="307"/>
      <c r="AD80" s="450"/>
      <c r="AE80" s="450"/>
      <c r="AF80" s="450"/>
      <c r="AH80" s="231"/>
      <c r="AI80" s="231"/>
      <c r="AJ80" s="404">
        <v>505</v>
      </c>
      <c r="AK80" s="231"/>
    </row>
    <row r="81" spans="1:37" s="280" customFormat="1" ht="13.2" customHeight="1" thickTop="1" x14ac:dyDescent="0.35">
      <c r="A81" s="469" t="e">
        <f>RANK(P81,$P$16:$P$85,0)</f>
        <v>#N/A</v>
      </c>
      <c r="B81" s="404">
        <v>40</v>
      </c>
      <c r="C81" s="443" t="str">
        <f>VLOOKUP(B81,Уч!$A$2:$L$34,2,FALSE)</f>
        <v>Черкасов Алексей</v>
      </c>
      <c r="D81" s="444" t="str">
        <f>VLOOKUP(B81,Уч!$A$2:$L$34,3,FALSE)</f>
        <v>22.10.1994</v>
      </c>
      <c r="E81" s="509" t="s">
        <v>19</v>
      </c>
      <c r="F81" s="445">
        <f>VLOOKUP($B81,'100 м 1'!$C$18:$I$87,5,FALSE)</f>
        <v>11.53</v>
      </c>
      <c r="G81" s="471">
        <f>VLOOKUP($B81,'длина 2 '!$C$16:$O$54,11,FALSE)</f>
        <v>6.24</v>
      </c>
      <c r="H81" s="471">
        <f>VLOOKUP($B81,'ядро 2'!$C$16:$K$60,8,FALSE)</f>
        <v>12.93</v>
      </c>
      <c r="I81" s="471">
        <f>VLOOKUP($B81,'высота 2'!$C$16:$AF$57,29,FALSE)</f>
        <v>1.91</v>
      </c>
      <c r="J81" s="472">
        <f>VLOOKUP($B81,'4_р'!$C$17:$H$73,5,FALSE)</f>
        <v>52.72</v>
      </c>
      <c r="K81" s="471">
        <f>VLOOKUP($B81,'1cб_р'!$C$17:$I$67,5,FALSE)</f>
        <v>15.18</v>
      </c>
      <c r="L81" s="471">
        <f>VLOOKUP($B81,Дс_р!$C$16:$K$70,8,FALSE)</f>
        <v>32.729999999999997</v>
      </c>
      <c r="M81" s="471">
        <f>VLOOKUP($B81,Ш_р!$C$15:$AF$69,29,FALSE)</f>
        <v>0</v>
      </c>
      <c r="N81" s="471">
        <f>VLOOKUP($B81,К_р!$C$15:$K$68,8,FALSE)</f>
        <v>53.68</v>
      </c>
      <c r="O81" s="473" t="str">
        <f>VLOOKUP($B81,'15_р'!$C$17:$H$86,5,FALSE)</f>
        <v>4:56.96</v>
      </c>
      <c r="P81" s="491">
        <f>SUM(F83:O83)</f>
        <v>4669</v>
      </c>
      <c r="Q81" s="469">
        <f>LOOKUP(P81,Y$1:AH$1,Y$2:AH$2)</f>
        <v>2</v>
      </c>
      <c r="R81" s="404" t="s">
        <v>116</v>
      </c>
      <c r="S81" s="404">
        <f>B81</f>
        <v>40</v>
      </c>
      <c r="T81" s="287" t="e">
        <f>$A81</f>
        <v>#N/A</v>
      </c>
      <c r="U81" s="287">
        <v>1</v>
      </c>
      <c r="V81" s="287" t="s">
        <v>162</v>
      </c>
      <c r="W81" s="449"/>
      <c r="X81" s="307"/>
      <c r="Y81" s="307"/>
      <c r="Z81" s="307"/>
      <c r="AA81" s="307"/>
      <c r="AB81" s="307"/>
      <c r="AC81" s="307"/>
      <c r="AD81" s="450"/>
      <c r="AE81" s="450"/>
      <c r="AF81" s="450"/>
      <c r="AH81" s="280" t="e">
        <f>IF(AND(T81&gt;16,P81&gt;=5500),"1",LOOKUP(T81,Y$5:AO$5,Y$6:AO$6))</f>
        <v>#N/A</v>
      </c>
      <c r="AI81" s="280">
        <f>LOOKUP(Q81,Y$8:AD$8,Y$9:AD$9)</f>
        <v>0</v>
      </c>
      <c r="AJ81" s="404">
        <v>455</v>
      </c>
      <c r="AK81" s="231"/>
    </row>
    <row r="82" spans="1:37" s="280" customFormat="1" ht="13.2" customHeight="1" x14ac:dyDescent="0.35">
      <c r="A82" s="231"/>
      <c r="B82" s="404"/>
      <c r="C82" s="451" t="str">
        <f>VLOOKUP(B81,Уч!$A$2:$L$34,5,FALSE)</f>
        <v xml:space="preserve">Кемеровская область Санкт-Петербург </v>
      </c>
      <c r="D82" s="444" t="str">
        <f>VLOOKUP(B81,Уч!$A$2:$L$34,4,FALSE)</f>
        <v>МС</v>
      </c>
      <c r="E82" s="509" t="s">
        <v>25</v>
      </c>
      <c r="F82" s="453">
        <f>VLOOKUP($B81,'100 м 1'!$C$18:$I$87,6,FALSE)</f>
        <v>0.8</v>
      </c>
      <c r="G82" s="476">
        <f>VLOOKUP($B81,'длина 2 '!$C$16:$O$54,12,FALSE)</f>
        <v>0.3</v>
      </c>
      <c r="H82" s="473"/>
      <c r="I82" s="476"/>
      <c r="J82" s="477"/>
      <c r="K82" s="476">
        <f>VLOOKUP($B81,'1cб_р'!$C$17:$I$67,6,FALSE)</f>
        <v>-1</v>
      </c>
      <c r="L82" s="476"/>
      <c r="M82" s="476"/>
      <c r="N82" s="473"/>
      <c r="O82" s="473"/>
      <c r="P82" s="448"/>
      <c r="Q82" s="303"/>
      <c r="R82" s="473" t="e">
        <f>CONCATENATE(AH81,"+",AI81,"+",5)</f>
        <v>#N/A</v>
      </c>
      <c r="S82" s="404">
        <f>B81</f>
        <v>40</v>
      </c>
      <c r="T82" s="287" t="e">
        <f>$A81</f>
        <v>#N/A</v>
      </c>
      <c r="U82" s="287">
        <v>2</v>
      </c>
      <c r="V82" s="287" t="s">
        <v>162</v>
      </c>
      <c r="W82" s="449"/>
      <c r="X82" s="307"/>
      <c r="Y82" s="307"/>
      <c r="Z82" s="307"/>
      <c r="AA82" s="307"/>
      <c r="AB82" s="307"/>
      <c r="AC82" s="307"/>
      <c r="AD82" s="450"/>
      <c r="AE82" s="450"/>
      <c r="AF82" s="450"/>
      <c r="AH82" s="231"/>
      <c r="AI82" s="231"/>
      <c r="AJ82" s="404">
        <v>455</v>
      </c>
      <c r="AK82" s="231"/>
    </row>
    <row r="83" spans="1:37" s="280" customFormat="1" ht="13.2" customHeight="1" x14ac:dyDescent="0.35">
      <c r="A83" s="231"/>
      <c r="B83" s="404"/>
      <c r="C83" s="457" t="str">
        <f>VLOOKUP(B81,Уч!$A$2:$L$34,7,FALSE)</f>
        <v>МА ФСУ «СШОР по легкой атлетике», ГАУ КО "ЦП ССК", СПб ГБУ ЦОП "ШВСМ по легкой атлетике"</v>
      </c>
      <c r="D83" s="444"/>
      <c r="E83" s="509" t="s">
        <v>29</v>
      </c>
      <c r="F83" s="458">
        <f>VLOOKUP($B81,'100 м 1'!$C$18:$I$87,7,FALSE)</f>
        <v>746</v>
      </c>
      <c r="G83" s="473">
        <f>VLOOKUP($B81,'длина 2 '!$C$16:$O$54,13,FALSE)</f>
        <v>0</v>
      </c>
      <c r="H83" s="473">
        <f>VLOOKUP($B81,'ядро 2'!$C$16:$K$60,9,FALSE)</f>
        <v>663</v>
      </c>
      <c r="I83" s="473">
        <f>VLOOKUP($B81,'высота 2'!$C$16:$AF$57,30,)</f>
        <v>0</v>
      </c>
      <c r="J83" s="479">
        <f>VLOOKUP($B81,'4_р'!$C$17:$H$73,6,FALSE)</f>
        <v>694</v>
      </c>
      <c r="K83" s="473">
        <f>VLOOKUP($B81,'1cб_р'!$C$17:$I$67,7,FALSE)</f>
        <v>828</v>
      </c>
      <c r="L83" s="473">
        <f>VLOOKUP($B81,Дс_р!$C$16:$K$70,9,FALSE)</f>
        <v>518</v>
      </c>
      <c r="M83" s="473">
        <f>VLOOKUP($B81,Ш_р!$C$15:$AF$69,30,FALSE)</f>
        <v>0</v>
      </c>
      <c r="N83" s="473">
        <f>VLOOKUP($B81,К_р!$C$15:$K$68,9,FALSE)</f>
        <v>643</v>
      </c>
      <c r="O83" s="473">
        <f>VLOOKUP($B81,'15_р'!$C$17:$H$86,6,FALSE)</f>
        <v>577</v>
      </c>
      <c r="P83" s="448"/>
      <c r="Q83" s="493"/>
      <c r="R83" s="306"/>
      <c r="S83" s="404">
        <f>B81</f>
        <v>40</v>
      </c>
      <c r="T83" s="287" t="e">
        <f>$A81</f>
        <v>#N/A</v>
      </c>
      <c r="U83" s="287">
        <v>3</v>
      </c>
      <c r="V83" s="287" t="s">
        <v>162</v>
      </c>
      <c r="W83" s="449"/>
      <c r="X83" s="307"/>
      <c r="Y83" s="307"/>
      <c r="Z83" s="307"/>
      <c r="AA83" s="307"/>
      <c r="AB83" s="307"/>
      <c r="AC83" s="307"/>
      <c r="AD83" s="450"/>
      <c r="AE83" s="450"/>
      <c r="AF83" s="450"/>
      <c r="AH83" s="231"/>
      <c r="AI83" s="231"/>
      <c r="AJ83" s="404">
        <v>455</v>
      </c>
      <c r="AK83" s="231"/>
    </row>
    <row r="84" spans="1:37" s="280" customFormat="1" ht="13.2" customHeight="1" x14ac:dyDescent="0.35">
      <c r="A84" s="231"/>
      <c r="B84" s="404"/>
      <c r="C84" s="451" t="str">
        <f>VLOOKUP(B81,Уч!$A$2:$L$34,11,FALSE)</f>
        <v>Залевская И.И., Овчинников Ю.В., Полосухин К.А.</v>
      </c>
      <c r="D84" s="444"/>
      <c r="E84" s="509" t="s">
        <v>276</v>
      </c>
      <c r="F84" s="458">
        <f>F83</f>
        <v>746</v>
      </c>
      <c r="G84" s="473">
        <f>F84+G83</f>
        <v>746</v>
      </c>
      <c r="H84" s="473">
        <f>G84+H83</f>
        <v>1409</v>
      </c>
      <c r="I84" s="473">
        <f>H84+I83</f>
        <v>1409</v>
      </c>
      <c r="J84" s="479">
        <f>SUM($F83:J83)</f>
        <v>2103</v>
      </c>
      <c r="K84" s="473">
        <f>SUM($F83:$K83)</f>
        <v>2931</v>
      </c>
      <c r="L84" s="473">
        <f>K84+L83</f>
        <v>3449</v>
      </c>
      <c r="M84" s="473">
        <f>L84+M83</f>
        <v>3449</v>
      </c>
      <c r="N84" s="473">
        <f>SUM($F83:$N83)</f>
        <v>4092</v>
      </c>
      <c r="O84" s="473">
        <f>SUM($F83:$O83)</f>
        <v>4669</v>
      </c>
      <c r="P84" s="448"/>
      <c r="Q84" s="303"/>
      <c r="R84" s="306"/>
      <c r="S84" s="404">
        <f>B81</f>
        <v>40</v>
      </c>
      <c r="T84" s="287" t="e">
        <f>$A81</f>
        <v>#N/A</v>
      </c>
      <c r="U84" s="287">
        <v>4</v>
      </c>
      <c r="V84" s="287" t="s">
        <v>162</v>
      </c>
      <c r="W84" s="372">
        <f t="shared" ref="W84:AF84" si="13">F84</f>
        <v>746</v>
      </c>
      <c r="X84" s="372">
        <f t="shared" si="13"/>
        <v>746</v>
      </c>
      <c r="Y84" s="372">
        <f t="shared" si="13"/>
        <v>1409</v>
      </c>
      <c r="Z84" s="372">
        <f t="shared" si="13"/>
        <v>1409</v>
      </c>
      <c r="AA84" s="372">
        <f t="shared" si="13"/>
        <v>2103</v>
      </c>
      <c r="AB84" s="372">
        <f t="shared" si="13"/>
        <v>2931</v>
      </c>
      <c r="AC84" s="372">
        <f t="shared" si="13"/>
        <v>3449</v>
      </c>
      <c r="AD84" s="372">
        <f t="shared" si="13"/>
        <v>3449</v>
      </c>
      <c r="AE84" s="372">
        <f t="shared" si="13"/>
        <v>4092</v>
      </c>
      <c r="AF84" s="372">
        <f t="shared" si="13"/>
        <v>4669</v>
      </c>
      <c r="AH84" s="231"/>
      <c r="AI84" s="231"/>
      <c r="AJ84" s="404">
        <v>455</v>
      </c>
      <c r="AK84" s="231"/>
    </row>
    <row r="85" spans="1:37" s="280" customFormat="1" ht="13.2" customHeight="1" thickBot="1" x14ac:dyDescent="0.3">
      <c r="A85" s="460"/>
      <c r="B85" s="461"/>
      <c r="C85" s="462">
        <f>VLOOKUP(B81,Уч!$A$2:$L$34,12,FALSE)</f>
        <v>0</v>
      </c>
      <c r="D85" s="467"/>
      <c r="E85" s="510" t="s">
        <v>59</v>
      </c>
      <c r="F85" s="464" t="e">
        <f>RANK(F84,$W$19:$W$85,0)</f>
        <v>#N/A</v>
      </c>
      <c r="G85" s="481" t="e">
        <f>RANK(G84,$X$19:$X$85,0)</f>
        <v>#N/A</v>
      </c>
      <c r="H85" s="481" t="e">
        <f>RANK(H84,$Y$19:$Y$85,0)</f>
        <v>#N/A</v>
      </c>
      <c r="I85" s="481" t="e">
        <f>RANK(I84,$Z$19:$Z$85,0)</f>
        <v>#N/A</v>
      </c>
      <c r="J85" s="482" t="e">
        <f>RANK(J84,$AA$19:$AA$85,0)</f>
        <v>#N/A</v>
      </c>
      <c r="K85" s="481" t="e">
        <f>RANK(K84,$AB$19:$AB$85,0)</f>
        <v>#N/A</v>
      </c>
      <c r="L85" s="481" t="e">
        <f>RANK(L84,$AC$19:$AC$85,0)</f>
        <v>#N/A</v>
      </c>
      <c r="M85" s="481" t="e">
        <f>RANK(M84,$AD$19:$AD$85,0)</f>
        <v>#N/A</v>
      </c>
      <c r="N85" s="481" t="e">
        <f>RANK(N84,$AE$19:$AE$85,0)</f>
        <v>#N/A</v>
      </c>
      <c r="O85" s="481" t="e">
        <f>RANK(O84,$AF$19:$AF$85,0)</f>
        <v>#N/A</v>
      </c>
      <c r="P85" s="466"/>
      <c r="Q85" s="495"/>
      <c r="R85" s="495"/>
      <c r="S85" s="205">
        <f>B81</f>
        <v>40</v>
      </c>
      <c r="T85" s="287" t="e">
        <f>$A81</f>
        <v>#N/A</v>
      </c>
      <c r="U85" s="287">
        <v>5</v>
      </c>
      <c r="V85" s="287" t="s">
        <v>162</v>
      </c>
      <c r="W85" s="449"/>
      <c r="X85" s="307"/>
      <c r="Y85" s="307"/>
      <c r="Z85" s="307"/>
      <c r="AA85" s="307"/>
      <c r="AB85" s="307"/>
      <c r="AC85" s="307"/>
      <c r="AD85" s="450"/>
      <c r="AE85" s="450"/>
      <c r="AF85" s="450"/>
      <c r="AH85" s="231"/>
      <c r="AI85" s="231"/>
      <c r="AJ85" s="404">
        <v>455</v>
      </c>
      <c r="AK85" s="231"/>
    </row>
    <row r="86" spans="1:37" ht="13.2" customHeight="1" thickTop="1" x14ac:dyDescent="0.25">
      <c r="Q86" s="202"/>
    </row>
    <row r="87" spans="1:37" ht="13.2" customHeight="1" x14ac:dyDescent="0.25">
      <c r="C87" s="497" t="s">
        <v>87</v>
      </c>
      <c r="D87" s="498"/>
      <c r="E87" s="497"/>
      <c r="F87" s="499"/>
      <c r="G87" s="497"/>
      <c r="H87" s="497"/>
      <c r="I87" s="497"/>
      <c r="J87" s="498" t="s">
        <v>246</v>
      </c>
    </row>
    <row r="88" spans="1:37" ht="13.2" customHeight="1" x14ac:dyDescent="0.25">
      <c r="D88" s="41"/>
      <c r="G88" s="41"/>
      <c r="H88" s="41"/>
    </row>
    <row r="89" spans="1:37" ht="13.2" customHeight="1" x14ac:dyDescent="0.25">
      <c r="C89" s="497" t="s">
        <v>88</v>
      </c>
      <c r="D89" s="498"/>
      <c r="E89" s="497"/>
      <c r="F89" s="499"/>
      <c r="G89" s="497"/>
      <c r="H89" s="497"/>
      <c r="I89" s="497"/>
      <c r="J89" s="498" t="s">
        <v>109</v>
      </c>
    </row>
    <row r="90" spans="1:37" x14ac:dyDescent="0.25">
      <c r="D90" s="41"/>
      <c r="G90" s="41"/>
      <c r="H90" s="41"/>
      <c r="K90" s="41"/>
      <c r="L90" s="41"/>
    </row>
  </sheetData>
  <sortState ref="A16:AX60">
    <sortCondition ref="T16:T60"/>
    <sortCondition ref="U16:U60"/>
  </sortState>
  <mergeCells count="6">
    <mergeCell ref="A6:R6"/>
    <mergeCell ref="A1:R1"/>
    <mergeCell ref="A2:R2"/>
    <mergeCell ref="A3:R3"/>
    <mergeCell ref="A4:R4"/>
    <mergeCell ref="A5:R5"/>
  </mergeCells>
  <printOptions horizontalCentered="1"/>
  <pageMargins left="0.39370078740157483" right="0.39370078740157483" top="0.39370078740157483" bottom="0.39370078740157483" header="0.59055118110236227" footer="0.39370078740157483"/>
  <pageSetup paperSize="9" scale="72" orientation="portrait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D661"/>
  </sheetPr>
  <dimension ref="A1:M119"/>
  <sheetViews>
    <sheetView tabSelected="1" view="pageBreakPreview" topLeftCell="B1" zoomScale="70" zoomScaleSheetLayoutView="70" workbookViewId="0">
      <selection activeCell="Q26" sqref="Q26"/>
    </sheetView>
  </sheetViews>
  <sheetFormatPr defaultColWidth="9.109375" defaultRowHeight="13.2" customHeight="1" outlineLevelRow="1" outlineLevelCol="1" x14ac:dyDescent="0.25"/>
  <cols>
    <col min="1" max="1" width="12" style="41" hidden="1" customWidth="1" outlineLevel="1"/>
    <col min="2" max="2" width="6.21875" style="41" customWidth="1" collapsed="1"/>
    <col min="3" max="3" width="7" style="148" customWidth="1"/>
    <col min="4" max="4" width="18.21875" style="41" customWidth="1"/>
    <col min="5" max="5" width="12.21875" style="41" customWidth="1"/>
    <col min="6" max="6" width="25" style="41" customWidth="1"/>
    <col min="7" max="7" width="8.5546875" style="41" customWidth="1"/>
    <col min="8" max="8" width="6.109375" style="41" customWidth="1"/>
    <col min="9" max="9" width="5.6640625" style="149" bestFit="1" customWidth="1"/>
    <col min="10" max="10" width="9.88671875" style="41" bestFit="1" customWidth="1"/>
    <col min="11" max="11" width="9.109375" style="41" outlineLevel="1"/>
    <col min="12" max="12" width="9.109375" style="148" outlineLevel="1"/>
    <col min="13" max="16384" width="9.109375" style="41"/>
  </cols>
  <sheetData>
    <row r="1" spans="1:12" ht="13.2" customHeight="1" x14ac:dyDescent="0.25">
      <c r="B1" s="805" t="s">
        <v>119</v>
      </c>
      <c r="C1" s="805"/>
      <c r="D1" s="805"/>
      <c r="E1" s="805"/>
      <c r="F1" s="805"/>
      <c r="G1" s="805"/>
      <c r="H1" s="805"/>
      <c r="I1" s="805"/>
      <c r="K1" s="145"/>
      <c r="L1" s="146"/>
    </row>
    <row r="2" spans="1:12" ht="13.2" customHeight="1" x14ac:dyDescent="0.25">
      <c r="B2" s="805" t="s">
        <v>10</v>
      </c>
      <c r="C2" s="805"/>
      <c r="D2" s="805"/>
      <c r="E2" s="805"/>
      <c r="F2" s="805"/>
      <c r="G2" s="805"/>
      <c r="H2" s="805"/>
      <c r="I2" s="805"/>
      <c r="K2" s="145"/>
      <c r="L2" s="146"/>
    </row>
    <row r="3" spans="1:12" ht="13.2" customHeight="1" x14ac:dyDescent="0.25">
      <c r="B3" s="805" t="s">
        <v>351</v>
      </c>
      <c r="C3" s="805"/>
      <c r="D3" s="805"/>
      <c r="E3" s="805"/>
      <c r="F3" s="805"/>
      <c r="G3" s="805"/>
      <c r="H3" s="805"/>
      <c r="I3" s="805"/>
      <c r="K3" s="145"/>
      <c r="L3" s="146"/>
    </row>
    <row r="4" spans="1:12" ht="13.2" customHeight="1" x14ac:dyDescent="0.25">
      <c r="B4" s="802" t="s">
        <v>322</v>
      </c>
      <c r="C4" s="802"/>
      <c r="D4" s="802"/>
      <c r="E4" s="802"/>
      <c r="F4" s="802"/>
      <c r="G4" s="802"/>
      <c r="H4" s="802"/>
      <c r="I4" s="802"/>
      <c r="K4" s="145"/>
      <c r="L4" s="146"/>
    </row>
    <row r="5" spans="1:12" ht="13.2" customHeight="1" x14ac:dyDescent="0.25">
      <c r="B5" s="805" t="s">
        <v>101</v>
      </c>
      <c r="C5" s="805"/>
      <c r="D5" s="805"/>
      <c r="E5" s="805"/>
      <c r="F5" s="805"/>
      <c r="G5" s="805"/>
      <c r="H5" s="805"/>
      <c r="I5" s="805"/>
      <c r="K5" s="145"/>
      <c r="L5" s="146"/>
    </row>
    <row r="6" spans="1:12" ht="13.2" customHeight="1" x14ac:dyDescent="0.25">
      <c r="B6" s="801" t="s">
        <v>12</v>
      </c>
      <c r="C6" s="801"/>
      <c r="D6" s="801"/>
      <c r="E6" s="801"/>
      <c r="F6" s="801"/>
      <c r="G6" s="801"/>
      <c r="H6" s="801"/>
      <c r="I6" s="801"/>
      <c r="K6" s="145"/>
      <c r="L6" s="146"/>
    </row>
    <row r="7" spans="1:12" ht="13.2" customHeight="1" x14ac:dyDescent="0.25">
      <c r="B7" s="801" t="s">
        <v>247</v>
      </c>
      <c r="C7" s="801"/>
      <c r="D7" s="801"/>
      <c r="E7" s="801"/>
      <c r="F7" s="801"/>
      <c r="G7" s="801"/>
      <c r="H7" s="801"/>
      <c r="I7" s="801"/>
      <c r="K7" s="145"/>
      <c r="L7" s="146"/>
    </row>
    <row r="8" spans="1:12" ht="13.2" hidden="1" customHeight="1" x14ac:dyDescent="0.3">
      <c r="C8" s="151"/>
      <c r="D8" s="148"/>
      <c r="E8" s="147"/>
      <c r="G8" s="150"/>
      <c r="H8" s="150"/>
      <c r="K8" s="145"/>
      <c r="L8" s="146"/>
    </row>
    <row r="9" spans="1:12" ht="13.2" hidden="1" customHeight="1" x14ac:dyDescent="0.25">
      <c r="D9" s="38"/>
      <c r="G9" s="150"/>
      <c r="H9" s="150"/>
      <c r="K9" s="152" t="s">
        <v>22</v>
      </c>
      <c r="L9" s="146"/>
    </row>
    <row r="10" spans="1:12" ht="13.2" hidden="1" customHeight="1" outlineLevel="1" x14ac:dyDescent="0.3">
      <c r="C10" s="153"/>
      <c r="D10" s="148"/>
      <c r="E10" s="148"/>
      <c r="F10" s="151"/>
      <c r="K10" s="152" t="s">
        <v>23</v>
      </c>
      <c r="L10" s="146"/>
    </row>
    <row r="11" spans="1:12" ht="13.2" hidden="1" customHeight="1" x14ac:dyDescent="0.25">
      <c r="D11" s="148"/>
      <c r="E11" s="148"/>
      <c r="K11" s="152" t="s">
        <v>24</v>
      </c>
      <c r="L11" s="146"/>
    </row>
    <row r="12" spans="1:12" ht="13.2" customHeight="1" outlineLevel="1" x14ac:dyDescent="0.3">
      <c r="B12" s="203" t="s">
        <v>463</v>
      </c>
      <c r="C12" s="153"/>
      <c r="D12" s="148"/>
      <c r="E12" s="148"/>
      <c r="G12" s="151"/>
      <c r="H12" s="206" t="s">
        <v>253</v>
      </c>
      <c r="I12" s="207">
        <v>0.4513888888888889</v>
      </c>
      <c r="K12" s="145"/>
      <c r="L12" s="146"/>
    </row>
    <row r="13" spans="1:12" ht="13.2" customHeight="1" x14ac:dyDescent="0.3">
      <c r="B13" s="41" t="s">
        <v>261</v>
      </c>
      <c r="C13" s="147"/>
      <c r="D13" s="148"/>
      <c r="E13" s="148"/>
      <c r="G13" s="151"/>
      <c r="H13" s="206" t="s">
        <v>254</v>
      </c>
      <c r="I13" s="204"/>
      <c r="K13" s="145"/>
      <c r="L13" s="146"/>
    </row>
    <row r="14" spans="1:12" s="156" customFormat="1" ht="20.399999999999999" customHeight="1" x14ac:dyDescent="0.25">
      <c r="A14" s="154" t="s">
        <v>67</v>
      </c>
      <c r="B14" s="506" t="s">
        <v>328</v>
      </c>
      <c r="C14" s="506" t="s">
        <v>272</v>
      </c>
      <c r="D14" s="506" t="s">
        <v>329</v>
      </c>
      <c r="E14" s="506" t="s">
        <v>330</v>
      </c>
      <c r="F14" s="559" t="s">
        <v>331</v>
      </c>
      <c r="G14" s="560" t="s">
        <v>19</v>
      </c>
      <c r="H14" s="560" t="s">
        <v>25</v>
      </c>
      <c r="I14" s="507" t="s">
        <v>29</v>
      </c>
      <c r="K14" s="152" t="s">
        <v>28</v>
      </c>
      <c r="L14" s="152" t="s">
        <v>25</v>
      </c>
    </row>
    <row r="15" spans="1:12" s="156" customFormat="1" ht="5.4" hidden="1" customHeight="1" x14ac:dyDescent="0.25">
      <c r="I15" s="157"/>
      <c r="K15" s="152"/>
      <c r="L15" s="152"/>
    </row>
    <row r="16" spans="1:12" s="763" customFormat="1" ht="21" customHeight="1" x14ac:dyDescent="0.3">
      <c r="B16" s="804" t="s">
        <v>323</v>
      </c>
      <c r="C16" s="804"/>
      <c r="D16" s="804"/>
      <c r="E16" s="804"/>
      <c r="F16" s="804"/>
      <c r="G16" s="804"/>
      <c r="H16" s="804"/>
      <c r="I16" s="804"/>
      <c r="K16" s="768"/>
      <c r="L16" s="768"/>
    </row>
    <row r="17" spans="1:13" s="763" customFormat="1" ht="13.2" hidden="1" customHeight="1" x14ac:dyDescent="0.3">
      <c r="D17" s="763" t="s">
        <v>21</v>
      </c>
      <c r="I17" s="769"/>
      <c r="K17" s="768"/>
      <c r="L17" s="768"/>
    </row>
    <row r="18" spans="1:13" s="497" customFormat="1" ht="13.2" hidden="1" customHeight="1" x14ac:dyDescent="0.35">
      <c r="A18" s="497">
        <f ca="1">RAND()</f>
        <v>0.48186473977148025</v>
      </c>
      <c r="B18" s="770">
        <v>1</v>
      </c>
      <c r="C18" s="770"/>
      <c r="D18" s="771"/>
      <c r="E18" s="772"/>
      <c r="F18" s="773"/>
      <c r="G18" s="774"/>
      <c r="H18" s="775"/>
      <c r="I18" s="776"/>
      <c r="K18" s="777"/>
      <c r="L18" s="777"/>
    </row>
    <row r="19" spans="1:13" s="792" customFormat="1" ht="31.05" customHeight="1" x14ac:dyDescent="0.35">
      <c r="B19" s="793">
        <v>1</v>
      </c>
      <c r="C19" s="793">
        <v>98</v>
      </c>
      <c r="D19" s="794" t="s">
        <v>431</v>
      </c>
      <c r="E19" s="795" t="s">
        <v>432</v>
      </c>
      <c r="F19" s="796" t="s">
        <v>424</v>
      </c>
      <c r="G19" s="797">
        <v>11.13</v>
      </c>
      <c r="H19" s="798">
        <v>0</v>
      </c>
      <c r="I19" s="799">
        <v>832</v>
      </c>
      <c r="K19" s="800">
        <v>1113</v>
      </c>
      <c r="L19" s="800"/>
    </row>
    <row r="20" spans="1:13" s="792" customFormat="1" ht="31.05" customHeight="1" x14ac:dyDescent="0.35">
      <c r="A20" s="792">
        <f t="shared" ref="A20:A26" ca="1" si="0">RAND()</f>
        <v>0.19438391066669891</v>
      </c>
      <c r="B20" s="793">
        <v>2</v>
      </c>
      <c r="C20" s="793">
        <v>37</v>
      </c>
      <c r="D20" s="794" t="s">
        <v>287</v>
      </c>
      <c r="E20" s="795" t="s">
        <v>288</v>
      </c>
      <c r="F20" s="796" t="s">
        <v>360</v>
      </c>
      <c r="G20" s="797">
        <v>11.13</v>
      </c>
      <c r="H20" s="798">
        <v>0</v>
      </c>
      <c r="I20" s="799">
        <v>832</v>
      </c>
      <c r="K20" s="800">
        <v>1113</v>
      </c>
      <c r="L20" s="800"/>
    </row>
    <row r="21" spans="1:13" s="792" customFormat="1" ht="31.05" customHeight="1" x14ac:dyDescent="0.35">
      <c r="A21" s="792">
        <f t="shared" ca="1" si="0"/>
        <v>0.96994901403460709</v>
      </c>
      <c r="B21" s="793">
        <v>3</v>
      </c>
      <c r="C21" s="793">
        <v>36</v>
      </c>
      <c r="D21" s="794" t="s">
        <v>281</v>
      </c>
      <c r="E21" s="795" t="s">
        <v>282</v>
      </c>
      <c r="F21" s="796" t="s">
        <v>358</v>
      </c>
      <c r="G21" s="797">
        <v>11.62</v>
      </c>
      <c r="H21" s="798">
        <v>0</v>
      </c>
      <c r="I21" s="799">
        <v>728</v>
      </c>
      <c r="K21" s="800">
        <v>1162</v>
      </c>
      <c r="L21" s="800"/>
    </row>
    <row r="22" spans="1:13" s="792" customFormat="1" ht="31.05" customHeight="1" x14ac:dyDescent="0.35">
      <c r="A22" s="792">
        <f t="shared" ca="1" si="0"/>
        <v>0.25622370473823386</v>
      </c>
      <c r="B22" s="793">
        <v>4</v>
      </c>
      <c r="C22" s="793">
        <v>22</v>
      </c>
      <c r="D22" s="794" t="s">
        <v>285</v>
      </c>
      <c r="E22" s="795" t="s">
        <v>286</v>
      </c>
      <c r="F22" s="796" t="s">
        <v>356</v>
      </c>
      <c r="G22" s="797">
        <v>11.8</v>
      </c>
      <c r="H22" s="798">
        <v>0</v>
      </c>
      <c r="I22" s="799">
        <v>691</v>
      </c>
      <c r="K22" s="800">
        <v>1180</v>
      </c>
      <c r="L22" s="800"/>
    </row>
    <row r="23" spans="1:13" s="792" customFormat="1" ht="31.05" customHeight="1" x14ac:dyDescent="0.35">
      <c r="A23" s="792">
        <f t="shared" ca="1" si="0"/>
        <v>0.33104786823093235</v>
      </c>
      <c r="B23" s="793">
        <v>5</v>
      </c>
      <c r="C23" s="793">
        <v>115</v>
      </c>
      <c r="D23" s="794" t="s">
        <v>450</v>
      </c>
      <c r="E23" s="795" t="s">
        <v>451</v>
      </c>
      <c r="F23" s="796" t="s">
        <v>448</v>
      </c>
      <c r="G23" s="797">
        <v>11.34</v>
      </c>
      <c r="H23" s="798">
        <v>0</v>
      </c>
      <c r="I23" s="799">
        <v>786</v>
      </c>
      <c r="K23" s="800">
        <v>1134</v>
      </c>
      <c r="L23" s="800"/>
    </row>
    <row r="24" spans="1:13" s="792" customFormat="1" ht="31.05" customHeight="1" x14ac:dyDescent="0.35">
      <c r="A24" s="792">
        <f t="shared" ca="1" si="0"/>
        <v>0.56455114292330499</v>
      </c>
      <c r="B24" s="793">
        <v>6</v>
      </c>
      <c r="C24" s="793">
        <v>76</v>
      </c>
      <c r="D24" s="794" t="s">
        <v>414</v>
      </c>
      <c r="E24" s="795" t="s">
        <v>415</v>
      </c>
      <c r="F24" s="796" t="s">
        <v>417</v>
      </c>
      <c r="G24" s="797">
        <v>11.63</v>
      </c>
      <c r="H24" s="798">
        <v>0</v>
      </c>
      <c r="I24" s="799">
        <v>725</v>
      </c>
      <c r="K24" s="800">
        <v>1163</v>
      </c>
      <c r="L24" s="800"/>
    </row>
    <row r="25" spans="1:13" s="792" customFormat="1" ht="31.05" customHeight="1" x14ac:dyDescent="0.35">
      <c r="A25" s="792">
        <f t="shared" ca="1" si="0"/>
        <v>0.28882658046760257</v>
      </c>
      <c r="B25" s="793">
        <v>7</v>
      </c>
      <c r="C25" s="793">
        <v>79</v>
      </c>
      <c r="D25" s="794" t="s">
        <v>291</v>
      </c>
      <c r="E25" s="795" t="s">
        <v>292</v>
      </c>
      <c r="F25" s="796" t="s">
        <v>394</v>
      </c>
      <c r="G25" s="797">
        <v>11.13</v>
      </c>
      <c r="H25" s="798">
        <v>0</v>
      </c>
      <c r="I25" s="799">
        <v>832</v>
      </c>
      <c r="K25" s="800">
        <v>1113</v>
      </c>
      <c r="L25" s="800"/>
      <c r="M25" s="792">
        <v>163.19999999999999</v>
      </c>
    </row>
    <row r="26" spans="1:13" s="792" customFormat="1" ht="31.05" customHeight="1" x14ac:dyDescent="0.35">
      <c r="A26" s="792">
        <f t="shared" ca="1" si="0"/>
        <v>6.1180707810320922E-2</v>
      </c>
      <c r="B26" s="793">
        <v>8</v>
      </c>
      <c r="C26" s="793">
        <v>2</v>
      </c>
      <c r="D26" s="794" t="s">
        <v>293</v>
      </c>
      <c r="E26" s="795" t="s">
        <v>294</v>
      </c>
      <c r="F26" s="796" t="s">
        <v>354</v>
      </c>
      <c r="G26" s="797">
        <v>11.13</v>
      </c>
      <c r="H26" s="798">
        <v>0</v>
      </c>
      <c r="I26" s="799">
        <v>832</v>
      </c>
      <c r="K26" s="800">
        <v>1113</v>
      </c>
      <c r="L26" s="800"/>
    </row>
    <row r="27" spans="1:13" s="763" customFormat="1" ht="13.2" hidden="1" customHeight="1" x14ac:dyDescent="0.3">
      <c r="C27" s="153"/>
      <c r="F27" s="778"/>
      <c r="G27" s="779"/>
      <c r="H27" s="779"/>
      <c r="I27" s="780"/>
      <c r="K27" s="768"/>
      <c r="L27" s="768"/>
    </row>
    <row r="28" spans="1:13" s="786" customFormat="1" ht="21" customHeight="1" x14ac:dyDescent="0.35">
      <c r="A28" s="781"/>
      <c r="B28" s="781"/>
      <c r="C28" s="153"/>
      <c r="D28" s="763" t="s">
        <v>63</v>
      </c>
      <c r="E28" s="782"/>
      <c r="F28" s="783"/>
      <c r="G28" s="779"/>
      <c r="H28" s="784"/>
      <c r="I28" s="785"/>
      <c r="K28" s="787"/>
      <c r="L28" s="788"/>
    </row>
    <row r="29" spans="1:13" s="792" customFormat="1" ht="31.05" customHeight="1" x14ac:dyDescent="0.35">
      <c r="A29" s="792">
        <f ca="1">RAND()</f>
        <v>0.14604825706559676</v>
      </c>
      <c r="B29" s="793">
        <v>1</v>
      </c>
      <c r="C29" s="793">
        <v>113</v>
      </c>
      <c r="D29" s="794" t="s">
        <v>440</v>
      </c>
      <c r="E29" s="795" t="s">
        <v>441</v>
      </c>
      <c r="F29" s="796" t="s">
        <v>443</v>
      </c>
      <c r="G29" s="797">
        <v>11.7</v>
      </c>
      <c r="H29" s="798">
        <v>0.1</v>
      </c>
      <c r="I29" s="799">
        <v>711</v>
      </c>
      <c r="K29" s="800">
        <v>1170</v>
      </c>
      <c r="L29" s="800">
        <v>1</v>
      </c>
    </row>
    <row r="30" spans="1:13" s="792" customFormat="1" ht="31.05" customHeight="1" x14ac:dyDescent="0.35">
      <c r="A30" s="792">
        <f t="shared" ref="A30:A36" ca="1" si="1">RAND()</f>
        <v>0.10173875008674316</v>
      </c>
      <c r="B30" s="793">
        <v>2</v>
      </c>
      <c r="C30" s="793">
        <v>39</v>
      </c>
      <c r="D30" s="794" t="s">
        <v>367</v>
      </c>
      <c r="E30" s="795" t="s">
        <v>368</v>
      </c>
      <c r="F30" s="796" t="s">
        <v>364</v>
      </c>
      <c r="G30" s="797">
        <v>11.7</v>
      </c>
      <c r="H30" s="798">
        <v>0.1</v>
      </c>
      <c r="I30" s="799">
        <v>711</v>
      </c>
      <c r="K30" s="800">
        <v>1170</v>
      </c>
      <c r="L30" s="800">
        <v>1</v>
      </c>
      <c r="M30" s="792" t="s">
        <v>96</v>
      </c>
    </row>
    <row r="31" spans="1:13" s="792" customFormat="1" ht="31.05" customHeight="1" x14ac:dyDescent="0.35">
      <c r="A31" s="792">
        <f t="shared" ca="1" si="1"/>
        <v>0.23683853008280442</v>
      </c>
      <c r="B31" s="793">
        <v>3</v>
      </c>
      <c r="C31" s="793">
        <v>114</v>
      </c>
      <c r="D31" s="794" t="s">
        <v>446</v>
      </c>
      <c r="E31" s="795" t="s">
        <v>447</v>
      </c>
      <c r="F31" s="796" t="s">
        <v>448</v>
      </c>
      <c r="G31" s="797">
        <v>11.74</v>
      </c>
      <c r="H31" s="798">
        <v>0.1</v>
      </c>
      <c r="I31" s="799">
        <v>703</v>
      </c>
      <c r="K31" s="800">
        <v>1174</v>
      </c>
      <c r="L31" s="800">
        <v>1</v>
      </c>
    </row>
    <row r="32" spans="1:13" s="792" customFormat="1" ht="31.05" customHeight="1" x14ac:dyDescent="0.35">
      <c r="A32" s="792">
        <f t="shared" ca="1" si="1"/>
        <v>0.63994578768322286</v>
      </c>
      <c r="B32" s="793">
        <v>4</v>
      </c>
      <c r="C32" s="793">
        <v>75</v>
      </c>
      <c r="D32" s="794" t="s">
        <v>289</v>
      </c>
      <c r="E32" s="795" t="s">
        <v>290</v>
      </c>
      <c r="F32" s="796" t="s">
        <v>388</v>
      </c>
      <c r="G32" s="797">
        <v>11.33</v>
      </c>
      <c r="H32" s="798">
        <v>0.1</v>
      </c>
      <c r="I32" s="799">
        <v>789</v>
      </c>
      <c r="K32" s="800">
        <v>1133</v>
      </c>
      <c r="L32" s="800">
        <v>1</v>
      </c>
    </row>
    <row r="33" spans="1:12" s="792" customFormat="1" ht="31.05" customHeight="1" x14ac:dyDescent="0.35">
      <c r="A33" s="792">
        <f t="shared" ca="1" si="1"/>
        <v>0.17967777470444513</v>
      </c>
      <c r="B33" s="793">
        <v>5</v>
      </c>
      <c r="C33" s="793">
        <v>100</v>
      </c>
      <c r="D33" s="794" t="s">
        <v>435</v>
      </c>
      <c r="E33" s="795" t="s">
        <v>436</v>
      </c>
      <c r="F33" s="796" t="s">
        <v>437</v>
      </c>
      <c r="G33" s="797">
        <v>11.49</v>
      </c>
      <c r="H33" s="798">
        <v>0.1</v>
      </c>
      <c r="I33" s="799">
        <v>755</v>
      </c>
      <c r="K33" s="800">
        <v>1149</v>
      </c>
      <c r="L33" s="800">
        <v>1</v>
      </c>
    </row>
    <row r="34" spans="1:12" s="792" customFormat="1" ht="31.05" customHeight="1" x14ac:dyDescent="0.35">
      <c r="A34" s="792">
        <f t="shared" ca="1" si="1"/>
        <v>0.44275709203736713</v>
      </c>
      <c r="B34" s="793">
        <v>6</v>
      </c>
      <c r="C34" s="793">
        <v>74</v>
      </c>
      <c r="D34" s="794" t="s">
        <v>283</v>
      </c>
      <c r="E34" s="795" t="s">
        <v>284</v>
      </c>
      <c r="F34" s="796" t="s">
        <v>386</v>
      </c>
      <c r="G34" s="797">
        <v>11.77</v>
      </c>
      <c r="H34" s="798">
        <v>0.1</v>
      </c>
      <c r="I34" s="799">
        <v>697</v>
      </c>
      <c r="K34" s="800">
        <v>1177</v>
      </c>
      <c r="L34" s="800">
        <v>1</v>
      </c>
    </row>
    <row r="35" spans="1:12" s="792" customFormat="1" ht="31.05" customHeight="1" x14ac:dyDescent="0.35">
      <c r="A35" s="792">
        <f t="shared" ca="1" si="1"/>
        <v>8.318580406199283E-2</v>
      </c>
      <c r="B35" s="793">
        <v>7</v>
      </c>
      <c r="C35" s="793">
        <v>41</v>
      </c>
      <c r="D35" s="794" t="s">
        <v>362</v>
      </c>
      <c r="E35" s="795" t="s">
        <v>363</v>
      </c>
      <c r="F35" s="796" t="s">
        <v>364</v>
      </c>
      <c r="G35" s="797">
        <v>11.3</v>
      </c>
      <c r="H35" s="798">
        <v>0.1</v>
      </c>
      <c r="I35" s="799">
        <v>795</v>
      </c>
      <c r="K35" s="800">
        <v>1130</v>
      </c>
      <c r="L35" s="800">
        <v>1</v>
      </c>
    </row>
    <row r="36" spans="1:12" s="792" customFormat="1" ht="31.05" customHeight="1" x14ac:dyDescent="0.35">
      <c r="A36" s="792">
        <f t="shared" ca="1" si="1"/>
        <v>0.69272448781606855</v>
      </c>
      <c r="B36" s="793">
        <v>8</v>
      </c>
      <c r="C36" s="793">
        <v>81</v>
      </c>
      <c r="D36" s="794" t="s">
        <v>408</v>
      </c>
      <c r="E36" s="795" t="s">
        <v>409</v>
      </c>
      <c r="F36" s="796" t="s">
        <v>399</v>
      </c>
      <c r="G36" s="797">
        <v>11.7</v>
      </c>
      <c r="H36" s="798">
        <v>0.1</v>
      </c>
      <c r="I36" s="799">
        <v>711</v>
      </c>
      <c r="K36" s="800">
        <v>1170</v>
      </c>
      <c r="L36" s="800">
        <v>1</v>
      </c>
    </row>
    <row r="37" spans="1:12" s="786" customFormat="1" ht="13.2" customHeight="1" x14ac:dyDescent="0.3">
      <c r="C37" s="781"/>
      <c r="E37" s="781"/>
      <c r="F37" s="789"/>
      <c r="G37" s="790"/>
      <c r="H37" s="790"/>
      <c r="I37" s="785"/>
      <c r="L37" s="781"/>
    </row>
    <row r="38" spans="1:12" s="786" customFormat="1" ht="13.2" customHeight="1" x14ac:dyDescent="0.3">
      <c r="B38" s="791" t="s">
        <v>325</v>
      </c>
      <c r="C38" s="781"/>
      <c r="E38" s="781"/>
      <c r="F38" s="789"/>
      <c r="G38" s="790"/>
      <c r="H38" s="790"/>
      <c r="I38" s="785"/>
      <c r="L38" s="781"/>
    </row>
    <row r="39" spans="1:12" s="786" customFormat="1" ht="13.2" customHeight="1" x14ac:dyDescent="0.3">
      <c r="B39" s="791" t="s">
        <v>326</v>
      </c>
      <c r="C39" s="781"/>
      <c r="E39" s="781"/>
      <c r="F39" s="789"/>
      <c r="G39" s="790"/>
      <c r="H39" s="790"/>
      <c r="I39" s="785"/>
      <c r="L39" s="781"/>
    </row>
    <row r="40" spans="1:12" s="786" customFormat="1" ht="13.2" customHeight="1" x14ac:dyDescent="0.3">
      <c r="B40" s="791" t="s">
        <v>327</v>
      </c>
      <c r="C40" s="781"/>
      <c r="E40" s="781"/>
      <c r="F40" s="789"/>
      <c r="G40" s="790"/>
      <c r="H40" s="790"/>
      <c r="I40" s="785"/>
      <c r="L40" s="781"/>
    </row>
    <row r="41" spans="1:12" s="187" customFormat="1" ht="13.2" customHeight="1" x14ac:dyDescent="0.25">
      <c r="C41" s="762"/>
      <c r="E41" s="762"/>
      <c r="F41" s="190"/>
      <c r="G41" s="191"/>
      <c r="H41" s="191"/>
      <c r="I41" s="186"/>
      <c r="L41" s="762"/>
    </row>
    <row r="42" spans="1:12" s="187" customFormat="1" ht="13.2" customHeight="1" x14ac:dyDescent="0.25">
      <c r="C42" s="762"/>
      <c r="E42" s="762"/>
      <c r="F42" s="190"/>
      <c r="G42" s="802"/>
      <c r="H42" s="802"/>
      <c r="I42" s="207"/>
      <c r="L42" s="762"/>
    </row>
    <row r="43" spans="1:12" s="187" customFormat="1" ht="13.2" customHeight="1" x14ac:dyDescent="0.25">
      <c r="C43" s="762"/>
      <c r="E43" s="762"/>
      <c r="F43" s="190"/>
      <c r="G43" s="802"/>
      <c r="H43" s="802"/>
      <c r="I43" s="204"/>
      <c r="L43" s="762"/>
    </row>
    <row r="44" spans="1:12" s="187" customFormat="1" ht="13.2" customHeight="1" x14ac:dyDescent="0.25">
      <c r="B44" s="801" t="s">
        <v>324</v>
      </c>
      <c r="C44" s="801"/>
      <c r="D44" s="801"/>
      <c r="E44" s="801"/>
      <c r="F44" s="801"/>
      <c r="G44" s="801"/>
      <c r="H44" s="801"/>
      <c r="I44" s="801"/>
      <c r="L44" s="544"/>
    </row>
    <row r="45" spans="1:12" s="187" customFormat="1" ht="13.2" customHeight="1" x14ac:dyDescent="0.25">
      <c r="A45" s="182"/>
      <c r="B45" s="182"/>
      <c r="C45" s="178"/>
      <c r="D45" s="158" t="s">
        <v>21</v>
      </c>
      <c r="E45" s="183"/>
      <c r="F45" s="184"/>
      <c r="G45" s="180"/>
      <c r="H45" s="185"/>
      <c r="I45" s="186"/>
      <c r="K45" s="188"/>
      <c r="L45" s="189"/>
    </row>
    <row r="46" spans="1:12" s="161" customFormat="1" ht="13.2" customHeight="1" x14ac:dyDescent="0.35">
      <c r="A46" s="161">
        <f ca="1">RAND()</f>
        <v>0.15796463800705551</v>
      </c>
      <c r="B46" s="162">
        <v>1</v>
      </c>
      <c r="C46" s="162"/>
      <c r="D46" s="171"/>
      <c r="E46" s="172"/>
      <c r="F46" s="546"/>
      <c r="G46" s="548">
        <f>K46/100</f>
        <v>12.07</v>
      </c>
      <c r="H46" s="167">
        <f t="shared" ref="H46" si="2">L46/10</f>
        <v>2</v>
      </c>
      <c r="I46" s="168">
        <f t="shared" ref="I46" si="3">IF(K46&gt;1783,0,IF(K46=0,0,ROUNDDOWN(25.4347*(18-K46/100)^1.81,0)))</f>
        <v>637</v>
      </c>
      <c r="K46" s="170">
        <v>1207</v>
      </c>
      <c r="L46" s="170">
        <v>20</v>
      </c>
    </row>
    <row r="47" spans="1:12" s="161" customFormat="1" ht="13.2" customHeight="1" x14ac:dyDescent="0.35">
      <c r="A47" s="161">
        <f t="shared" ref="A47:A53" ca="1" si="4">RAND()</f>
        <v>0.76699975840165813</v>
      </c>
      <c r="B47" s="162">
        <v>2</v>
      </c>
      <c r="C47" s="162">
        <v>21</v>
      </c>
      <c r="D47" s="292" t="str">
        <f>VLOOKUP(C47,Уч!$A$2:$L$34,2,FALSE)</f>
        <v>Гасленко Кирилл</v>
      </c>
      <c r="E47" s="293">
        <f>VLOOKUP(C47,Уч!$A$2:$L$34,3,FALSE)</f>
        <v>36317</v>
      </c>
      <c r="F47" s="767" t="str">
        <f>VLOOKUP(C47,Уч!$A$2:$L$34,5,FALSE)</f>
        <v xml:space="preserve">Краснодарский край  </v>
      </c>
      <c r="G47" s="548">
        <f>K47/100</f>
        <v>12.07</v>
      </c>
      <c r="H47" s="167">
        <f t="shared" ref="H47:H52" si="5">L47/10</f>
        <v>2</v>
      </c>
      <c r="I47" s="168">
        <f t="shared" ref="I47:I52" si="6">IF(K47&gt;1783,0,IF(K47=0,0,ROUNDDOWN(25.4347*(18-K47/100)^1.81,0)))</f>
        <v>637</v>
      </c>
      <c r="K47" s="170">
        <v>1207</v>
      </c>
      <c r="L47" s="170">
        <v>20</v>
      </c>
    </row>
    <row r="48" spans="1:12" s="161" customFormat="1" ht="13.2" customHeight="1" x14ac:dyDescent="0.35">
      <c r="A48" s="161">
        <f t="shared" ca="1" si="4"/>
        <v>0.24139246271815562</v>
      </c>
      <c r="B48" s="162">
        <v>3</v>
      </c>
      <c r="C48" s="162">
        <v>86</v>
      </c>
      <c r="D48" s="292" t="str">
        <f>VLOOKUP(C48,Уч!$A$2:$L$34,2,FALSE)</f>
        <v>Белишко Владимир</v>
      </c>
      <c r="E48" s="293" t="str">
        <f>VLOOKUP(C48,Уч!$A$2:$L$34,3,FALSE)</f>
        <v>06.08.1998</v>
      </c>
      <c r="F48" s="767" t="str">
        <f>VLOOKUP(C48,Уч!$A$2:$L$34,5,FALSE)</f>
        <v xml:space="preserve">Челябинская область  </v>
      </c>
      <c r="G48" s="548">
        <f t="shared" ref="G48:G52" si="7">K48/100</f>
        <v>11.44</v>
      </c>
      <c r="H48" s="167">
        <f t="shared" si="5"/>
        <v>2</v>
      </c>
      <c r="I48" s="168">
        <f t="shared" si="6"/>
        <v>765</v>
      </c>
      <c r="K48" s="170">
        <v>1144</v>
      </c>
      <c r="L48" s="170">
        <v>20</v>
      </c>
    </row>
    <row r="49" spans="1:13" s="161" customFormat="1" ht="13.2" customHeight="1" x14ac:dyDescent="0.35">
      <c r="A49" s="161">
        <f t="shared" ca="1" si="4"/>
        <v>0.2902378772801546</v>
      </c>
      <c r="B49" s="162">
        <v>4</v>
      </c>
      <c r="C49" s="162">
        <v>99</v>
      </c>
      <c r="D49" s="292" t="str">
        <f>VLOOKUP(C49,Уч!$A$2:$L$34,2,FALSE)</f>
        <v>Минаков Алексей</v>
      </c>
      <c r="E49" s="293" t="str">
        <f>VLOOKUP(C49,Уч!$A$2:$L$34,3,FALSE)</f>
        <v>13.07.1997</v>
      </c>
      <c r="F49" s="767" t="str">
        <f>VLOOKUP(C49,Уч!$A$2:$L$34,5,FALSE)</f>
        <v xml:space="preserve">Волгоградская область  </v>
      </c>
      <c r="G49" s="548">
        <f t="shared" si="7"/>
        <v>12.14</v>
      </c>
      <c r="H49" s="167">
        <f t="shared" si="5"/>
        <v>2</v>
      </c>
      <c r="I49" s="168">
        <f t="shared" si="6"/>
        <v>624</v>
      </c>
      <c r="K49" s="170">
        <v>1214</v>
      </c>
      <c r="L49" s="170">
        <v>20</v>
      </c>
    </row>
    <row r="50" spans="1:13" s="161" customFormat="1" ht="13.2" customHeight="1" x14ac:dyDescent="0.35">
      <c r="A50" s="161">
        <f t="shared" ca="1" si="4"/>
        <v>0.1796747229415967</v>
      </c>
      <c r="B50" s="162">
        <v>5</v>
      </c>
      <c r="C50" s="162">
        <v>89</v>
      </c>
      <c r="D50" s="292" t="str">
        <f>VLOOKUP(C50,Уч!$A$2:$L$34,2,FALSE)</f>
        <v>Кузенков Кирилл</v>
      </c>
      <c r="E50" s="293" t="str">
        <f>VLOOKUP(C50,Уч!$A$2:$L$34,3,FALSE)</f>
        <v>18.02.1999</v>
      </c>
      <c r="F50" s="767" t="str">
        <f>VLOOKUP(C50,Уч!$A$2:$L$34,5,FALSE)</f>
        <v xml:space="preserve">Челябинская область  </v>
      </c>
      <c r="G50" s="548">
        <f t="shared" si="7"/>
        <v>11.89</v>
      </c>
      <c r="H50" s="167">
        <f t="shared" si="5"/>
        <v>2</v>
      </c>
      <c r="I50" s="168">
        <f t="shared" si="6"/>
        <v>673</v>
      </c>
      <c r="K50" s="170">
        <v>1189</v>
      </c>
      <c r="L50" s="170">
        <v>20</v>
      </c>
      <c r="M50" s="161" t="s">
        <v>239</v>
      </c>
    </row>
    <row r="51" spans="1:13" s="161" customFormat="1" ht="13.2" customHeight="1" x14ac:dyDescent="0.35">
      <c r="A51" s="161">
        <f t="shared" ca="1" si="4"/>
        <v>7.0161261065585956E-2</v>
      </c>
      <c r="B51" s="162">
        <v>6</v>
      </c>
      <c r="C51" s="162">
        <v>107</v>
      </c>
      <c r="D51" s="292" t="str">
        <f>VLOOKUP(C51,Уч!$A$2:$L$34,2,FALSE)</f>
        <v>Зарипов Раиль</v>
      </c>
      <c r="E51" s="293" t="str">
        <f>VLOOKUP(C51,Уч!$A$2:$L$34,3,FALSE)</f>
        <v>25.07.1999</v>
      </c>
      <c r="F51" s="767" t="str">
        <f>VLOOKUP(C51,Уч!$A$2:$L$34,5,FALSE)</f>
        <v xml:space="preserve">Республика Татарстан  </v>
      </c>
      <c r="G51" s="548">
        <f t="shared" ref="G51" si="8">K51/100</f>
        <v>11.89</v>
      </c>
      <c r="H51" s="167">
        <f t="shared" ref="H51" si="9">L51/10</f>
        <v>2</v>
      </c>
      <c r="I51" s="168">
        <f t="shared" ref="I51" si="10">IF(K51&gt;1783,0,IF(K51=0,0,ROUNDDOWN(25.4347*(18-K51/100)^1.81,0)))</f>
        <v>673</v>
      </c>
      <c r="K51" s="170">
        <v>1189</v>
      </c>
      <c r="L51" s="170">
        <v>20</v>
      </c>
    </row>
    <row r="52" spans="1:13" s="161" customFormat="1" ht="13.2" customHeight="1" x14ac:dyDescent="0.35">
      <c r="A52" s="161">
        <f t="shared" ca="1" si="4"/>
        <v>0.27263128494209765</v>
      </c>
      <c r="B52" s="162">
        <v>7</v>
      </c>
      <c r="C52" s="162"/>
      <c r="D52" s="171"/>
      <c r="E52" s="172"/>
      <c r="F52" s="546"/>
      <c r="G52" s="548">
        <f t="shared" si="7"/>
        <v>11.65</v>
      </c>
      <c r="H52" s="167">
        <f t="shared" si="5"/>
        <v>2</v>
      </c>
      <c r="I52" s="168">
        <f t="shared" si="6"/>
        <v>721</v>
      </c>
      <c r="K52" s="170">
        <v>1165</v>
      </c>
      <c r="L52" s="170">
        <v>20</v>
      </c>
    </row>
    <row r="53" spans="1:13" s="161" customFormat="1" ht="13.2" customHeight="1" x14ac:dyDescent="0.35">
      <c r="A53" s="161">
        <f t="shared" ca="1" si="4"/>
        <v>5.5889646232742951E-4</v>
      </c>
      <c r="B53" s="162">
        <v>8</v>
      </c>
      <c r="C53" s="162"/>
      <c r="D53" s="171"/>
      <c r="E53" s="172"/>
      <c r="F53" s="546"/>
      <c r="G53" s="548">
        <f>K53/100</f>
        <v>12.07</v>
      </c>
      <c r="H53" s="167">
        <f t="shared" ref="H53" si="11">L53/10</f>
        <v>2</v>
      </c>
      <c r="I53" s="168">
        <f t="shared" ref="I53" si="12">IF(K53&gt;1783,0,IF(K53=0,0,ROUNDDOWN(25.4347*(18-K53/100)^1.81,0)))</f>
        <v>637</v>
      </c>
      <c r="K53" s="170">
        <v>1207</v>
      </c>
      <c r="L53" s="170">
        <v>20</v>
      </c>
    </row>
    <row r="54" spans="1:13" s="187" customFormat="1" ht="13.2" customHeight="1" x14ac:dyDescent="0.25">
      <c r="A54" s="182"/>
      <c r="B54" s="182"/>
      <c r="C54" s="182"/>
      <c r="E54" s="193"/>
      <c r="F54" s="193"/>
      <c r="G54" s="194"/>
      <c r="H54" s="195"/>
      <c r="I54" s="181"/>
      <c r="K54" s="188"/>
      <c r="L54" s="196"/>
    </row>
    <row r="55" spans="1:13" s="187" customFormat="1" ht="13.2" customHeight="1" outlineLevel="1" x14ac:dyDescent="0.25">
      <c r="A55" s="182"/>
      <c r="B55" s="182"/>
      <c r="C55" s="178"/>
      <c r="D55" s="158" t="s">
        <v>63</v>
      </c>
      <c r="E55" s="183"/>
      <c r="F55" s="184"/>
      <c r="G55" s="180"/>
      <c r="H55" s="185"/>
      <c r="I55" s="186"/>
      <c r="K55" s="188"/>
      <c r="L55" s="189"/>
    </row>
    <row r="56" spans="1:13" s="161" customFormat="1" ht="13.2" customHeight="1" outlineLevel="1" x14ac:dyDescent="0.35">
      <c r="A56" s="161">
        <f ca="1">RAND()</f>
        <v>0.95533712964398909</v>
      </c>
      <c r="B56" s="162">
        <v>1</v>
      </c>
      <c r="C56" s="162"/>
      <c r="D56" s="171"/>
      <c r="E56" s="172"/>
      <c r="F56" s="546"/>
      <c r="G56" s="548">
        <f>K56/100</f>
        <v>12.07</v>
      </c>
      <c r="H56" s="167">
        <f t="shared" ref="H56" si="13">L56/10</f>
        <v>2</v>
      </c>
      <c r="I56" s="168">
        <f t="shared" ref="I56" si="14">IF(K56&gt;1783,0,IF(K56=0,0,ROUNDDOWN(25.4347*(18-K56/100)^1.81,0)))</f>
        <v>637</v>
      </c>
      <c r="K56" s="170">
        <v>1207</v>
      </c>
      <c r="L56" s="170">
        <v>20</v>
      </c>
    </row>
    <row r="57" spans="1:13" s="161" customFormat="1" ht="13.2" customHeight="1" outlineLevel="1" x14ac:dyDescent="0.35">
      <c r="A57" s="161">
        <f t="shared" ref="A57:A63" ca="1" si="15">RAND()</f>
        <v>0.39204913607158076</v>
      </c>
      <c r="B57" s="162">
        <v>2</v>
      </c>
      <c r="C57" s="162">
        <v>101</v>
      </c>
      <c r="D57" s="292" t="str">
        <f>VLOOKUP(C57,Уч!$A$2:$L$34,2,FALSE)</f>
        <v>Чернов Виталий</v>
      </c>
      <c r="E57" s="293" t="str">
        <f>VLOOKUP(C57,Уч!$A$2:$L$34,3,FALSE)</f>
        <v>07.08.1997</v>
      </c>
      <c r="F57" s="767" t="str">
        <f>VLOOKUP(C57,Уч!$A$2:$L$34,5,FALSE)</f>
        <v xml:space="preserve">Волгоградская область  </v>
      </c>
      <c r="G57" s="548">
        <f t="shared" ref="G57:G62" si="16">K57/100</f>
        <v>12.19</v>
      </c>
      <c r="H57" s="167">
        <f t="shared" ref="H57:H63" si="17">L57/10</f>
        <v>0.8</v>
      </c>
      <c r="I57" s="168">
        <f t="shared" ref="I57:I63" si="18">IF(K57&gt;1783,0,IF(K57=0,0,ROUNDDOWN(25.4347*(18-K57/100)^1.81,0)))</f>
        <v>614</v>
      </c>
      <c r="K57" s="170">
        <v>1219</v>
      </c>
      <c r="L57" s="198">
        <v>8</v>
      </c>
      <c r="M57" s="161" t="s">
        <v>238</v>
      </c>
    </row>
    <row r="58" spans="1:13" s="161" customFormat="1" ht="13.2" customHeight="1" outlineLevel="1" x14ac:dyDescent="0.25">
      <c r="A58" s="161">
        <f t="shared" ca="1" si="15"/>
        <v>0.51544914097630889</v>
      </c>
      <c r="B58" s="162">
        <v>3</v>
      </c>
      <c r="C58" s="182">
        <v>71</v>
      </c>
      <c r="D58" s="292" t="str">
        <f>VLOOKUP(C58,Уч!$A$2:$L$34,2,FALSE)</f>
        <v>Агапов Игорь</v>
      </c>
      <c r="E58" s="293" t="str">
        <f>VLOOKUP(C58,Уч!$A$2:$L$34,3,FALSE)</f>
        <v>29.10.1998</v>
      </c>
      <c r="F58" s="767" t="str">
        <f>VLOOKUP(C58,Уч!$A$2:$L$34,5,FALSE)</f>
        <v xml:space="preserve">Москва  </v>
      </c>
      <c r="G58" s="548">
        <f t="shared" si="16"/>
        <v>11.44</v>
      </c>
      <c r="H58" s="167">
        <f t="shared" si="17"/>
        <v>0.8</v>
      </c>
      <c r="I58" s="168">
        <f t="shared" si="18"/>
        <v>765</v>
      </c>
      <c r="K58" s="170">
        <v>1144</v>
      </c>
      <c r="L58" s="198">
        <v>8</v>
      </c>
    </row>
    <row r="59" spans="1:13" s="161" customFormat="1" ht="13.2" customHeight="1" outlineLevel="1" x14ac:dyDescent="0.35">
      <c r="A59" s="161">
        <f t="shared" ca="1" si="15"/>
        <v>0.31021672725639882</v>
      </c>
      <c r="B59" s="162">
        <v>4</v>
      </c>
      <c r="C59" s="162">
        <v>44</v>
      </c>
      <c r="D59" s="292" t="str">
        <f>VLOOKUP(C59,Уч!$A$2:$L$34,2,FALSE)</f>
        <v>Хамедов Игорь</v>
      </c>
      <c r="E59" s="293" t="str">
        <f>VLOOKUP(C59,Уч!$A$2:$L$34,3,FALSE)</f>
        <v>30.05.1998</v>
      </c>
      <c r="F59" s="767" t="str">
        <f>VLOOKUP(C59,Уч!$A$2:$L$34,5,FALSE)</f>
        <v xml:space="preserve">Кемеровская область  </v>
      </c>
      <c r="G59" s="548">
        <f t="shared" si="16"/>
        <v>11.78</v>
      </c>
      <c r="H59" s="167">
        <f t="shared" si="17"/>
        <v>0.8</v>
      </c>
      <c r="I59" s="168">
        <f t="shared" si="18"/>
        <v>695</v>
      </c>
      <c r="K59" s="170">
        <v>1178</v>
      </c>
      <c r="L59" s="198">
        <v>8</v>
      </c>
    </row>
    <row r="60" spans="1:13" s="161" customFormat="1" ht="13.2" customHeight="1" outlineLevel="1" x14ac:dyDescent="0.35">
      <c r="A60" s="161">
        <f t="shared" ca="1" si="15"/>
        <v>0.17156414263107878</v>
      </c>
      <c r="B60" s="162">
        <v>5</v>
      </c>
      <c r="C60" s="162">
        <v>88</v>
      </c>
      <c r="D60" s="292" t="str">
        <f>VLOOKUP(C60,Уч!$A$2:$L$34,2,FALSE)</f>
        <v>Башаев Никита</v>
      </c>
      <c r="E60" s="293" t="str">
        <f>VLOOKUP(C60,Уч!$A$2:$L$34,3,FALSE)</f>
        <v>19.07.1997</v>
      </c>
      <c r="F60" s="767" t="str">
        <f>VLOOKUP(C60,Уч!$A$2:$L$34,5,FALSE)</f>
        <v xml:space="preserve">Челябинская область  </v>
      </c>
      <c r="G60" s="548">
        <f t="shared" si="16"/>
        <v>11.22</v>
      </c>
      <c r="H60" s="167">
        <f t="shared" si="17"/>
        <v>0.8</v>
      </c>
      <c r="I60" s="168">
        <f t="shared" si="18"/>
        <v>812</v>
      </c>
      <c r="K60" s="170">
        <v>1122</v>
      </c>
      <c r="L60" s="198">
        <v>8</v>
      </c>
    </row>
    <row r="61" spans="1:13" s="161" customFormat="1" ht="13.2" customHeight="1" outlineLevel="1" x14ac:dyDescent="0.35">
      <c r="A61" s="161">
        <f t="shared" ca="1" si="15"/>
        <v>0.60984951778197583</v>
      </c>
      <c r="B61" s="162">
        <v>6</v>
      </c>
      <c r="C61" s="162">
        <v>116</v>
      </c>
      <c r="D61" s="292" t="str">
        <f>VLOOKUP(C61,Уч!$A$2:$L$34,2,FALSE)</f>
        <v>Горбачёв Артём</v>
      </c>
      <c r="E61" s="293" t="str">
        <f>VLOOKUP(C61,Уч!$A$2:$L$34,3,FALSE)</f>
        <v>25.04.1998</v>
      </c>
      <c r="F61" s="767" t="str">
        <f>VLOOKUP(C61,Уч!$A$2:$L$34,5,FALSE)</f>
        <v xml:space="preserve">Санкт-Петербург  </v>
      </c>
      <c r="G61" s="548">
        <f t="shared" si="16"/>
        <v>11.6</v>
      </c>
      <c r="H61" s="167">
        <f t="shared" si="17"/>
        <v>0.8</v>
      </c>
      <c r="I61" s="168">
        <f t="shared" si="18"/>
        <v>732</v>
      </c>
      <c r="K61" s="170">
        <v>1160</v>
      </c>
      <c r="L61" s="198">
        <v>8</v>
      </c>
    </row>
    <row r="62" spans="1:13" s="161" customFormat="1" ht="13.2" customHeight="1" outlineLevel="1" x14ac:dyDescent="0.35">
      <c r="A62" s="161">
        <f t="shared" ca="1" si="15"/>
        <v>0.81230821118441943</v>
      </c>
      <c r="B62" s="162">
        <v>7</v>
      </c>
      <c r="C62" s="162">
        <v>45</v>
      </c>
      <c r="D62" s="292" t="str">
        <f>VLOOKUP(C62,Уч!$A$2:$L$34,2,FALSE)</f>
        <v>Бочаринский Данила</v>
      </c>
      <c r="E62" s="293" t="str">
        <f>VLOOKUP(C62,Уч!$A$2:$L$34,3,FALSE)</f>
        <v>12.01.1999</v>
      </c>
      <c r="F62" s="767" t="str">
        <f>VLOOKUP(C62,Уч!$A$2:$L$34,5,FALSE)</f>
        <v xml:space="preserve">Кемеровская область  </v>
      </c>
      <c r="G62" s="548">
        <f t="shared" si="16"/>
        <v>11.53</v>
      </c>
      <c r="H62" s="167">
        <f t="shared" si="17"/>
        <v>0.8</v>
      </c>
      <c r="I62" s="168">
        <f t="shared" si="18"/>
        <v>746</v>
      </c>
      <c r="K62" s="170">
        <v>1153</v>
      </c>
      <c r="L62" s="198">
        <v>8</v>
      </c>
    </row>
    <row r="63" spans="1:13" s="161" customFormat="1" ht="13.2" customHeight="1" outlineLevel="1" x14ac:dyDescent="0.35">
      <c r="A63" s="161">
        <f t="shared" ca="1" si="15"/>
        <v>0.19474897276000191</v>
      </c>
      <c r="B63" s="162">
        <v>8</v>
      </c>
      <c r="C63" s="162"/>
      <c r="D63" s="171"/>
      <c r="E63" s="172"/>
      <c r="F63" s="546"/>
      <c r="G63" s="548">
        <f>K63/100</f>
        <v>12.07</v>
      </c>
      <c r="H63" s="167">
        <f t="shared" si="17"/>
        <v>2</v>
      </c>
      <c r="I63" s="168">
        <f t="shared" si="18"/>
        <v>637</v>
      </c>
      <c r="K63" s="170">
        <v>1207</v>
      </c>
      <c r="L63" s="170">
        <v>20</v>
      </c>
    </row>
    <row r="64" spans="1:13" s="161" customFormat="1" ht="13.2" customHeight="1" outlineLevel="1" x14ac:dyDescent="0.35">
      <c r="B64" s="549"/>
      <c r="C64" s="549"/>
      <c r="D64" s="755"/>
      <c r="E64" s="756"/>
      <c r="F64" s="757"/>
      <c r="G64" s="554"/>
      <c r="H64" s="555"/>
      <c r="I64" s="556"/>
      <c r="K64" s="170"/>
      <c r="L64" s="170"/>
    </row>
    <row r="65" spans="1:12" s="161" customFormat="1" ht="13.2" customHeight="1" outlineLevel="1" x14ac:dyDescent="0.25">
      <c r="B65" s="734"/>
      <c r="C65" s="178"/>
      <c r="D65" s="158" t="s">
        <v>64</v>
      </c>
      <c r="E65" s="183"/>
      <c r="F65" s="184"/>
      <c r="G65" s="180"/>
      <c r="H65" s="185"/>
      <c r="I65" s="186"/>
      <c r="J65" s="187"/>
      <c r="K65" s="188"/>
      <c r="L65" s="189"/>
    </row>
    <row r="66" spans="1:12" s="161" customFormat="1" ht="13.2" customHeight="1" outlineLevel="1" x14ac:dyDescent="0.35">
      <c r="B66" s="162">
        <v>1</v>
      </c>
      <c r="C66" s="162"/>
      <c r="D66" s="171"/>
      <c r="E66" s="172"/>
      <c r="F66" s="546"/>
      <c r="G66" s="548">
        <f>K66/100</f>
        <v>12.07</v>
      </c>
      <c r="H66" s="167">
        <f t="shared" ref="H66:H73" si="19">L66/10</f>
        <v>2</v>
      </c>
      <c r="I66" s="168">
        <f t="shared" ref="I66:I73" si="20">IF(K66&gt;1783,0,IF(K66=0,0,ROUNDDOWN(25.4347*(18-K66/100)^1.81,0)))</f>
        <v>637</v>
      </c>
      <c r="K66" s="170">
        <v>1207</v>
      </c>
      <c r="L66" s="170">
        <v>20</v>
      </c>
    </row>
    <row r="67" spans="1:12" s="161" customFormat="1" outlineLevel="1" x14ac:dyDescent="0.35">
      <c r="B67" s="162">
        <v>2</v>
      </c>
      <c r="C67" s="200">
        <v>77</v>
      </c>
      <c r="D67" s="292" t="str">
        <f>VLOOKUP(C67,Уч!$A$2:$L$34,2,FALSE)</f>
        <v>Мазикин Алексей</v>
      </c>
      <c r="E67" s="293" t="str">
        <f>VLOOKUP(C67,Уч!$A$2:$L$34,3,FALSE)</f>
        <v>05.06.1998</v>
      </c>
      <c r="F67" s="767" t="str">
        <f>VLOOKUP(C67,Уч!$A$2:$L$34,5,FALSE)</f>
        <v xml:space="preserve">Ставропольский край  </v>
      </c>
      <c r="G67" s="548">
        <f t="shared" ref="G67:G72" si="21">K67/100</f>
        <v>12.19</v>
      </c>
      <c r="H67" s="167">
        <f t="shared" si="19"/>
        <v>0.8</v>
      </c>
      <c r="I67" s="168">
        <f t="shared" si="20"/>
        <v>614</v>
      </c>
      <c r="K67" s="170">
        <v>1219</v>
      </c>
      <c r="L67" s="198">
        <v>8</v>
      </c>
    </row>
    <row r="68" spans="1:12" s="161" customFormat="1" ht="13.2" customHeight="1" outlineLevel="1" x14ac:dyDescent="0.25">
      <c r="B68" s="162">
        <v>3</v>
      </c>
      <c r="C68" s="761">
        <v>1</v>
      </c>
      <c r="D68" s="292" t="str">
        <f>VLOOKUP(C68,Уч!$A$2:$L$34,2,FALSE)</f>
        <v>Переварюха Артём</v>
      </c>
      <c r="E68" s="293" t="str">
        <f>VLOOKUP(C68,Уч!$A$2:$L$34,3,FALSE)</f>
        <v>21.05.1999</v>
      </c>
      <c r="F68" s="767" t="str">
        <f>VLOOKUP(C68,Уч!$A$2:$L$34,5,FALSE)</f>
        <v xml:space="preserve">Ростовская область  </v>
      </c>
      <c r="G68" s="548">
        <f t="shared" si="21"/>
        <v>11.44</v>
      </c>
      <c r="H68" s="167">
        <f t="shared" si="19"/>
        <v>0.8</v>
      </c>
      <c r="I68" s="168">
        <f t="shared" si="20"/>
        <v>765</v>
      </c>
      <c r="K68" s="170">
        <v>1144</v>
      </c>
      <c r="L68" s="198">
        <v>8</v>
      </c>
    </row>
    <row r="69" spans="1:12" s="161" customFormat="1" ht="13.2" customHeight="1" outlineLevel="1" x14ac:dyDescent="0.35">
      <c r="B69" s="162">
        <v>4</v>
      </c>
      <c r="C69" s="200">
        <v>43</v>
      </c>
      <c r="D69" s="292" t="str">
        <f>VLOOKUP(C69,Уч!$A$2:$L$34,2,FALSE)</f>
        <v>Соляков Федор</v>
      </c>
      <c r="E69" s="293" t="str">
        <f>VLOOKUP(C69,Уч!$A$2:$L$34,3,FALSE)</f>
        <v>08.03.1998</v>
      </c>
      <c r="F69" s="767" t="str">
        <f>VLOOKUP(C69,Уч!$A$2:$L$34,5,FALSE)</f>
        <v xml:space="preserve">Кемеровская область  </v>
      </c>
      <c r="G69" s="548">
        <f t="shared" si="21"/>
        <v>11.78</v>
      </c>
      <c r="H69" s="167">
        <f t="shared" si="19"/>
        <v>0.8</v>
      </c>
      <c r="I69" s="168">
        <f t="shared" si="20"/>
        <v>695</v>
      </c>
      <c r="K69" s="170">
        <v>1178</v>
      </c>
      <c r="L69" s="198">
        <v>8</v>
      </c>
    </row>
    <row r="70" spans="1:12" s="161" customFormat="1" ht="13.2" customHeight="1" outlineLevel="1" x14ac:dyDescent="0.35">
      <c r="B70" s="162">
        <v>5</v>
      </c>
      <c r="C70" s="200">
        <v>83</v>
      </c>
      <c r="D70" s="292" t="str">
        <f>VLOOKUP(C70,Уч!$A$2:$L$34,2,FALSE)</f>
        <v>Патес Максим</v>
      </c>
      <c r="E70" s="293" t="str">
        <f>VLOOKUP(C70,Уч!$A$2:$L$34,3,FALSE)</f>
        <v>03.05.1997</v>
      </c>
      <c r="F70" s="767" t="str">
        <f>VLOOKUP(C70,Уч!$A$2:$L$34,5,FALSE)</f>
        <v xml:space="preserve">Челябинская область  </v>
      </c>
      <c r="G70" s="548">
        <f t="shared" si="21"/>
        <v>11.22</v>
      </c>
      <c r="H70" s="167">
        <f t="shared" si="19"/>
        <v>0.8</v>
      </c>
      <c r="I70" s="168">
        <f t="shared" si="20"/>
        <v>812</v>
      </c>
      <c r="K70" s="170">
        <v>1122</v>
      </c>
      <c r="L70" s="198">
        <v>8</v>
      </c>
    </row>
    <row r="71" spans="1:12" s="161" customFormat="1" ht="13.2" customHeight="1" outlineLevel="1" x14ac:dyDescent="0.35">
      <c r="B71" s="162">
        <v>6</v>
      </c>
      <c r="C71" s="200">
        <v>78</v>
      </c>
      <c r="D71" s="292" t="str">
        <f>VLOOKUP(C71,Уч!$A$2:$L$34,2,FALSE)</f>
        <v>Слаква Максим</v>
      </c>
      <c r="E71" s="293" t="str">
        <f>VLOOKUP(C71,Уч!$A$2:$L$34,3,FALSE)</f>
        <v>10.05.1998</v>
      </c>
      <c r="F71" s="767" t="str">
        <f>VLOOKUP(C71,Уч!$A$2:$L$34,5,FALSE)</f>
        <v xml:space="preserve">Ставропольский край  </v>
      </c>
      <c r="G71" s="548">
        <f t="shared" si="21"/>
        <v>11.6</v>
      </c>
      <c r="H71" s="167">
        <f t="shared" si="19"/>
        <v>0.8</v>
      </c>
      <c r="I71" s="168">
        <f t="shared" si="20"/>
        <v>732</v>
      </c>
      <c r="K71" s="170">
        <v>1160</v>
      </c>
      <c r="L71" s="198">
        <v>8</v>
      </c>
    </row>
    <row r="72" spans="1:12" s="161" customFormat="1" ht="13.2" customHeight="1" outlineLevel="1" x14ac:dyDescent="0.35">
      <c r="B72" s="162">
        <v>7</v>
      </c>
      <c r="C72" s="200">
        <v>40</v>
      </c>
      <c r="D72" s="292" t="str">
        <f>VLOOKUP(C72,Уч!$A$2:$L$34,2,FALSE)</f>
        <v>Черкасов Алексей</v>
      </c>
      <c r="E72" s="293" t="str">
        <f>VLOOKUP(C72,Уч!$A$2:$L$34,3,FALSE)</f>
        <v>22.10.1994</v>
      </c>
      <c r="F72" s="767" t="str">
        <f>VLOOKUP(C72,Уч!$A$2:$L$34,5,FALSE)</f>
        <v xml:space="preserve">Кемеровская область Санкт-Петербург </v>
      </c>
      <c r="G72" s="548">
        <f t="shared" si="21"/>
        <v>11.53</v>
      </c>
      <c r="H72" s="167">
        <f t="shared" si="19"/>
        <v>0.8</v>
      </c>
      <c r="I72" s="168">
        <f t="shared" si="20"/>
        <v>746</v>
      </c>
      <c r="K72" s="170">
        <v>1153</v>
      </c>
      <c r="L72" s="198">
        <v>8</v>
      </c>
    </row>
    <row r="73" spans="1:12" s="161" customFormat="1" ht="13.2" customHeight="1" outlineLevel="1" x14ac:dyDescent="0.35">
      <c r="B73" s="162">
        <v>8</v>
      </c>
      <c r="C73" s="162"/>
      <c r="D73" s="171"/>
      <c r="E73" s="172"/>
      <c r="F73" s="546"/>
      <c r="G73" s="548">
        <f>K73/100</f>
        <v>12.07</v>
      </c>
      <c r="H73" s="167">
        <f t="shared" si="19"/>
        <v>2</v>
      </c>
      <c r="I73" s="168">
        <f t="shared" si="20"/>
        <v>637</v>
      </c>
      <c r="K73" s="170">
        <v>1207</v>
      </c>
      <c r="L73" s="170">
        <v>20</v>
      </c>
    </row>
    <row r="74" spans="1:12" s="161" customFormat="1" ht="13.2" customHeight="1" outlineLevel="1" x14ac:dyDescent="0.35">
      <c r="B74" s="549"/>
      <c r="C74" s="550"/>
      <c r="D74" s="551"/>
      <c r="E74" s="552"/>
      <c r="F74" s="553"/>
      <c r="G74" s="554"/>
      <c r="H74" s="555"/>
      <c r="I74" s="556"/>
      <c r="K74" s="170"/>
      <c r="L74" s="170"/>
    </row>
    <row r="75" spans="1:12" s="161" customFormat="1" ht="13.2" customHeight="1" outlineLevel="1" x14ac:dyDescent="0.35">
      <c r="B75" s="557" t="s">
        <v>325</v>
      </c>
      <c r="C75" s="550"/>
      <c r="D75" s="551"/>
      <c r="E75" s="552"/>
      <c r="F75" s="553"/>
      <c r="G75" s="554"/>
      <c r="H75" s="555"/>
      <c r="I75" s="556"/>
      <c r="K75" s="170"/>
      <c r="L75" s="170"/>
    </row>
    <row r="76" spans="1:12" s="161" customFormat="1" ht="13.2" customHeight="1" outlineLevel="1" x14ac:dyDescent="0.35">
      <c r="B76" s="557" t="s">
        <v>326</v>
      </c>
      <c r="C76" s="550"/>
      <c r="D76" s="551"/>
      <c r="E76" s="552"/>
      <c r="F76" s="553"/>
      <c r="G76" s="554"/>
      <c r="H76" s="555"/>
      <c r="I76" s="556"/>
      <c r="K76" s="170"/>
      <c r="L76" s="170"/>
    </row>
    <row r="77" spans="1:12" s="161" customFormat="1" ht="13.2" customHeight="1" outlineLevel="1" x14ac:dyDescent="0.35">
      <c r="B77" s="557" t="s">
        <v>327</v>
      </c>
      <c r="C77" s="550"/>
      <c r="D77" s="551"/>
      <c r="E77" s="552"/>
      <c r="F77" s="553"/>
      <c r="G77" s="554"/>
      <c r="H77" s="555"/>
      <c r="I77" s="556"/>
      <c r="K77" s="170"/>
      <c r="L77" s="170"/>
    </row>
    <row r="78" spans="1:12" s="187" customFormat="1" ht="13.2" customHeight="1" x14ac:dyDescent="0.25">
      <c r="A78" s="182"/>
      <c r="B78" s="182"/>
      <c r="C78" s="182"/>
      <c r="E78" s="193"/>
      <c r="F78" s="193"/>
      <c r="G78" s="194"/>
      <c r="H78" s="195"/>
      <c r="I78" s="181"/>
      <c r="K78" s="188"/>
      <c r="L78" s="196"/>
    </row>
    <row r="79" spans="1:12" s="187" customFormat="1" ht="13.2" customHeight="1" outlineLevel="1" x14ac:dyDescent="0.25">
      <c r="A79" s="182"/>
      <c r="B79" s="182"/>
      <c r="C79" s="178"/>
      <c r="D79" s="158" t="s">
        <v>126</v>
      </c>
      <c r="E79" s="183"/>
      <c r="F79" s="184"/>
      <c r="G79" s="180"/>
      <c r="H79" s="185"/>
      <c r="I79" s="186"/>
      <c r="K79" s="188"/>
      <c r="L79" s="189"/>
    </row>
    <row r="80" spans="1:12" s="161" customFormat="1" ht="13.2" customHeight="1" outlineLevel="1" x14ac:dyDescent="0.25">
      <c r="A80" s="161">
        <f ca="1">RAND()</f>
        <v>0.59842162623134409</v>
      </c>
      <c r="B80" s="162">
        <v>1</v>
      </c>
      <c r="C80" s="197"/>
      <c r="D80" s="163" t="e">
        <f>VLOOKUP(C80,Уч!$A$2:$L$34,2,FALSE)</f>
        <v>#N/A</v>
      </c>
      <c r="E80" s="164" t="e">
        <f>VLOOKUP(C80,Уч!$A$2:$L$34,3,FALSE)</f>
        <v>#N/A</v>
      </c>
      <c r="F80" s="165" t="e">
        <f>VLOOKUP(C80,Уч!$A$2:$L$34,5,FALSE)</f>
        <v>#N/A</v>
      </c>
      <c r="G80" s="166">
        <f t="shared" ref="G80:G87" si="22">K80/100</f>
        <v>0</v>
      </c>
      <c r="H80" s="167">
        <f t="shared" ref="H80:H87" si="23">L80/10</f>
        <v>0</v>
      </c>
      <c r="I80" s="168">
        <f t="shared" ref="I80:I87" si="24">IF(K80&gt;1783,0,IF(K80=0,0,ROUNDDOWN(25.4347*(18-K80/100)^1.81,0)))</f>
        <v>0</v>
      </c>
      <c r="K80" s="198"/>
      <c r="L80" s="198"/>
    </row>
    <row r="81" spans="1:12" s="161" customFormat="1" ht="13.2" customHeight="1" outlineLevel="1" x14ac:dyDescent="0.35">
      <c r="A81" s="161">
        <f t="shared" ref="A81:A87" ca="1" si="25">RAND()</f>
        <v>8.2194438129618574E-2</v>
      </c>
      <c r="B81" s="162">
        <v>2</v>
      </c>
      <c r="C81" s="162">
        <v>52</v>
      </c>
      <c r="D81" s="171" t="e">
        <f>VLOOKUP(C81,Уч!$A$2:$L$34,2,FALSE)</f>
        <v>#N/A</v>
      </c>
      <c r="E81" s="172" t="e">
        <f>VLOOKUP(C81,Уч!$A$2:$L$34,3,FALSE)</f>
        <v>#N/A</v>
      </c>
      <c r="F81" s="173" t="e">
        <f>VLOOKUP(C81,Уч!$A$2:$L$34,5,FALSE)</f>
        <v>#N/A</v>
      </c>
      <c r="G81" s="174">
        <f t="shared" si="22"/>
        <v>10.93</v>
      </c>
      <c r="H81" s="175">
        <f t="shared" si="23"/>
        <v>1</v>
      </c>
      <c r="I81" s="176">
        <f t="shared" si="24"/>
        <v>876</v>
      </c>
      <c r="K81" s="170">
        <v>1093</v>
      </c>
      <c r="L81" s="198">
        <v>10</v>
      </c>
    </row>
    <row r="82" spans="1:12" s="161" customFormat="1" ht="13.2" customHeight="1" outlineLevel="1" x14ac:dyDescent="0.25">
      <c r="A82" s="161">
        <f t="shared" ca="1" si="25"/>
        <v>5.1531125912654185E-2</v>
      </c>
      <c r="B82" s="162">
        <v>3</v>
      </c>
      <c r="C82" s="182">
        <v>13</v>
      </c>
      <c r="D82" s="171" t="e">
        <f>VLOOKUP(C82,Уч!$A$2:$L$34,2,FALSE)</f>
        <v>#N/A</v>
      </c>
      <c r="E82" s="172" t="e">
        <f>VLOOKUP(C82,Уч!$A$2:$L$34,3,FALSE)</f>
        <v>#N/A</v>
      </c>
      <c r="F82" s="173" t="e">
        <f>VLOOKUP(C82,Уч!$A$2:$L$34,5,FALSE)</f>
        <v>#N/A</v>
      </c>
      <c r="G82" s="174">
        <f t="shared" si="22"/>
        <v>11.41</v>
      </c>
      <c r="H82" s="175">
        <f t="shared" si="23"/>
        <v>1</v>
      </c>
      <c r="I82" s="176">
        <f t="shared" si="24"/>
        <v>771</v>
      </c>
      <c r="K82" s="170">
        <v>1141</v>
      </c>
      <c r="L82" s="198">
        <v>10</v>
      </c>
    </row>
    <row r="83" spans="1:12" s="161" customFormat="1" ht="13.2" customHeight="1" outlineLevel="1" x14ac:dyDescent="0.35">
      <c r="A83" s="161">
        <f t="shared" ca="1" si="25"/>
        <v>2.5644478876375554E-2</v>
      </c>
      <c r="B83" s="162">
        <v>4</v>
      </c>
      <c r="C83" s="162">
        <v>32</v>
      </c>
      <c r="D83" s="171" t="e">
        <f>VLOOKUP(C83,Уч!$A$2:$L$34,2,FALSE)</f>
        <v>#N/A</v>
      </c>
      <c r="E83" s="172" t="e">
        <f>VLOOKUP(C83,Уч!$A$2:$L$34,3,FALSE)</f>
        <v>#N/A</v>
      </c>
      <c r="F83" s="173" t="e">
        <f>VLOOKUP(C83,Уч!$A$2:$L$34,5,FALSE)</f>
        <v>#N/A</v>
      </c>
      <c r="G83" s="174">
        <f t="shared" si="22"/>
        <v>11.15</v>
      </c>
      <c r="H83" s="175">
        <f t="shared" si="23"/>
        <v>1</v>
      </c>
      <c r="I83" s="176">
        <f t="shared" si="24"/>
        <v>827</v>
      </c>
      <c r="K83" s="170">
        <v>1115</v>
      </c>
      <c r="L83" s="198">
        <v>10</v>
      </c>
    </row>
    <row r="84" spans="1:12" s="161" customFormat="1" ht="13.2" customHeight="1" outlineLevel="1" x14ac:dyDescent="0.35">
      <c r="A84" s="161">
        <f t="shared" ca="1" si="25"/>
        <v>0.87216071346723267</v>
      </c>
      <c r="B84" s="162">
        <v>5</v>
      </c>
      <c r="C84" s="162">
        <v>25</v>
      </c>
      <c r="D84" s="171" t="e">
        <f>VLOOKUP(C84,Уч!$A$2:$L$34,2,FALSE)</f>
        <v>#N/A</v>
      </c>
      <c r="E84" s="172" t="e">
        <f>VLOOKUP(C84,Уч!$A$2:$L$34,3,FALSE)</f>
        <v>#N/A</v>
      </c>
      <c r="F84" s="173" t="e">
        <f>VLOOKUP(C84,Уч!$A$2:$L$34,5,FALSE)</f>
        <v>#N/A</v>
      </c>
      <c r="G84" s="174">
        <f t="shared" si="22"/>
        <v>11.3</v>
      </c>
      <c r="H84" s="175">
        <f t="shared" si="23"/>
        <v>1</v>
      </c>
      <c r="I84" s="176">
        <f t="shared" si="24"/>
        <v>795</v>
      </c>
      <c r="K84" s="170">
        <v>1130</v>
      </c>
      <c r="L84" s="198">
        <v>10</v>
      </c>
    </row>
    <row r="85" spans="1:12" s="161" customFormat="1" ht="13.2" customHeight="1" outlineLevel="1" x14ac:dyDescent="0.35">
      <c r="A85" s="161">
        <f t="shared" ca="1" si="25"/>
        <v>0.17850187245794014</v>
      </c>
      <c r="B85" s="162">
        <v>6</v>
      </c>
      <c r="C85" s="162">
        <v>24</v>
      </c>
      <c r="D85" s="171" t="e">
        <f>VLOOKUP(C85,Уч!$A$2:$L$34,2,FALSE)</f>
        <v>#N/A</v>
      </c>
      <c r="E85" s="172" t="e">
        <f>VLOOKUP(C85,Уч!$A$2:$L$34,3,FALSE)</f>
        <v>#N/A</v>
      </c>
      <c r="F85" s="173" t="e">
        <f>VLOOKUP(C85,Уч!$A$2:$L$34,5,FALSE)</f>
        <v>#N/A</v>
      </c>
      <c r="G85" s="174">
        <f t="shared" si="22"/>
        <v>11.15</v>
      </c>
      <c r="H85" s="175">
        <f t="shared" si="23"/>
        <v>1</v>
      </c>
      <c r="I85" s="176">
        <f t="shared" si="24"/>
        <v>827</v>
      </c>
      <c r="K85" s="170">
        <v>1115</v>
      </c>
      <c r="L85" s="198">
        <v>10</v>
      </c>
    </row>
    <row r="86" spans="1:12" s="161" customFormat="1" ht="13.2" customHeight="1" outlineLevel="1" x14ac:dyDescent="0.35">
      <c r="A86" s="161">
        <f t="shared" ca="1" si="25"/>
        <v>0.60804592454422512</v>
      </c>
      <c r="B86" s="162">
        <v>7</v>
      </c>
      <c r="C86" s="162">
        <v>53</v>
      </c>
      <c r="D86" s="171" t="e">
        <f>VLOOKUP(C86,Уч!$A$2:$L$34,2,FALSE)</f>
        <v>#N/A</v>
      </c>
      <c r="E86" s="172" t="e">
        <f>VLOOKUP(C86,Уч!$A$2:$L$34,3,FALSE)</f>
        <v>#N/A</v>
      </c>
      <c r="F86" s="173" t="e">
        <f>VLOOKUP(C86,Уч!$A$2:$L$34,5,FALSE)</f>
        <v>#N/A</v>
      </c>
      <c r="G86" s="174">
        <f t="shared" si="22"/>
        <v>10.91</v>
      </c>
      <c r="H86" s="175">
        <f t="shared" si="23"/>
        <v>1</v>
      </c>
      <c r="I86" s="176">
        <f t="shared" si="24"/>
        <v>881</v>
      </c>
      <c r="K86" s="170">
        <v>1091</v>
      </c>
      <c r="L86" s="198">
        <v>10</v>
      </c>
    </row>
    <row r="87" spans="1:12" s="161" customFormat="1" ht="13.2" customHeight="1" outlineLevel="1" x14ac:dyDescent="0.35">
      <c r="A87" s="161">
        <f t="shared" ca="1" si="25"/>
        <v>0.50837642826001606</v>
      </c>
      <c r="B87" s="162">
        <v>8</v>
      </c>
      <c r="C87" s="177">
        <v>1385</v>
      </c>
      <c r="D87" s="163" t="e">
        <f>VLOOKUP(C87,Уч!$A$2:$L$34,2,FALSE)</f>
        <v>#N/A</v>
      </c>
      <c r="E87" s="164" t="e">
        <f>VLOOKUP(C87,Уч!$A$2:$L$34,3,FALSE)</f>
        <v>#N/A</v>
      </c>
      <c r="F87" s="199" t="e">
        <f>VLOOKUP(C87,Уч!$A$2:$L$34,5,FALSE)</f>
        <v>#N/A</v>
      </c>
      <c r="G87" s="166">
        <f t="shared" si="22"/>
        <v>0</v>
      </c>
      <c r="H87" s="167">
        <f t="shared" si="23"/>
        <v>0</v>
      </c>
      <c r="I87" s="168">
        <f t="shared" si="24"/>
        <v>0</v>
      </c>
      <c r="K87" s="170"/>
      <c r="L87" s="170"/>
    </row>
    <row r="88" spans="1:12" ht="13.2" customHeight="1" outlineLevel="1" x14ac:dyDescent="0.25">
      <c r="A88" s="41">
        <f t="shared" ref="A88:A102" ca="1" si="26">RAND()</f>
        <v>0.6854704158782926</v>
      </c>
      <c r="C88" s="200">
        <v>1</v>
      </c>
      <c r="G88" s="201"/>
      <c r="H88" s="201"/>
      <c r="I88" s="202"/>
    </row>
    <row r="89" spans="1:12" ht="13.2" customHeight="1" outlineLevel="1" x14ac:dyDescent="0.25">
      <c r="A89" s="41">
        <f t="shared" ca="1" si="26"/>
        <v>0.91943146227103623</v>
      </c>
      <c r="C89" s="200">
        <v>2</v>
      </c>
      <c r="G89" s="201"/>
      <c r="H89" s="201"/>
      <c r="I89" s="202"/>
    </row>
    <row r="90" spans="1:12" ht="13.2" customHeight="1" outlineLevel="1" x14ac:dyDescent="0.25">
      <c r="A90" s="41">
        <f t="shared" ca="1" si="26"/>
        <v>0.44054314942375683</v>
      </c>
      <c r="C90" s="200">
        <v>3</v>
      </c>
      <c r="G90" s="201"/>
      <c r="H90" s="201"/>
      <c r="I90" s="202"/>
    </row>
    <row r="91" spans="1:12" ht="13.2" customHeight="1" outlineLevel="1" x14ac:dyDescent="0.25">
      <c r="A91" s="41">
        <f t="shared" ca="1" si="26"/>
        <v>0.90298104974513571</v>
      </c>
      <c r="C91" s="200">
        <v>4</v>
      </c>
      <c r="G91" s="201"/>
      <c r="H91" s="201"/>
      <c r="I91" s="202"/>
    </row>
    <row r="92" spans="1:12" ht="13.2" customHeight="1" outlineLevel="1" x14ac:dyDescent="0.25">
      <c r="A92" s="41">
        <f t="shared" ca="1" si="26"/>
        <v>0.47686734558385557</v>
      </c>
      <c r="C92" s="200">
        <v>5</v>
      </c>
      <c r="G92" s="201"/>
      <c r="H92" s="201"/>
      <c r="I92" s="202"/>
    </row>
    <row r="93" spans="1:12" ht="13.2" customHeight="1" outlineLevel="1" x14ac:dyDescent="0.25">
      <c r="A93" s="41">
        <f t="shared" ca="1" si="26"/>
        <v>0.32882192454963766</v>
      </c>
      <c r="C93" s="200">
        <v>6</v>
      </c>
      <c r="G93" s="201"/>
      <c r="H93" s="201"/>
      <c r="I93" s="202"/>
    </row>
    <row r="94" spans="1:12" ht="13.2" customHeight="1" outlineLevel="1" x14ac:dyDescent="0.25">
      <c r="A94" s="41">
        <f t="shared" ca="1" si="26"/>
        <v>1.7049809204704336E-2</v>
      </c>
      <c r="C94" s="200">
        <v>7</v>
      </c>
      <c r="G94" s="201"/>
      <c r="H94" s="201"/>
      <c r="I94" s="202"/>
    </row>
    <row r="95" spans="1:12" ht="13.2" customHeight="1" outlineLevel="1" x14ac:dyDescent="0.25">
      <c r="A95" s="41">
        <f t="shared" ca="1" si="26"/>
        <v>0.59349668913214693</v>
      </c>
      <c r="C95" s="200">
        <v>8</v>
      </c>
      <c r="G95" s="201"/>
      <c r="H95" s="201"/>
      <c r="I95" s="202"/>
    </row>
    <row r="96" spans="1:12" ht="13.2" customHeight="1" outlineLevel="1" x14ac:dyDescent="0.25">
      <c r="A96" s="41">
        <f t="shared" ca="1" si="26"/>
        <v>0.26737018723183992</v>
      </c>
      <c r="C96" s="200">
        <v>9</v>
      </c>
      <c r="G96" s="201"/>
      <c r="H96" s="201"/>
      <c r="I96" s="202"/>
    </row>
    <row r="97" spans="1:9" ht="13.2" customHeight="1" outlineLevel="1" x14ac:dyDescent="0.25">
      <c r="A97" s="41">
        <f t="shared" ca="1" si="26"/>
        <v>0.47202784618631721</v>
      </c>
      <c r="C97" s="200">
        <v>10</v>
      </c>
      <c r="G97" s="201"/>
      <c r="H97" s="201"/>
      <c r="I97" s="202"/>
    </row>
    <row r="98" spans="1:9" ht="13.2" customHeight="1" outlineLevel="1" x14ac:dyDescent="0.25">
      <c r="A98" s="41">
        <f t="shared" ca="1" si="26"/>
        <v>0.85890449675232361</v>
      </c>
      <c r="C98" s="200">
        <v>11</v>
      </c>
      <c r="G98" s="201"/>
      <c r="H98" s="201"/>
      <c r="I98" s="202"/>
    </row>
    <row r="99" spans="1:9" ht="13.2" customHeight="1" outlineLevel="1" x14ac:dyDescent="0.25">
      <c r="A99" s="41">
        <f t="shared" ca="1" si="26"/>
        <v>0.40551215887996628</v>
      </c>
      <c r="C99" s="200">
        <v>12</v>
      </c>
      <c r="G99" s="201"/>
      <c r="H99" s="201"/>
      <c r="I99" s="202"/>
    </row>
    <row r="100" spans="1:9" ht="13.2" customHeight="1" outlineLevel="1" x14ac:dyDescent="0.25">
      <c r="A100" s="41">
        <f t="shared" ca="1" si="26"/>
        <v>0.20641862853483994</v>
      </c>
      <c r="C100" s="200">
        <v>13</v>
      </c>
      <c r="G100" s="201"/>
      <c r="H100" s="201"/>
      <c r="I100" s="202"/>
    </row>
    <row r="101" spans="1:9" ht="13.2" customHeight="1" outlineLevel="1" x14ac:dyDescent="0.25">
      <c r="A101" s="41">
        <f t="shared" ca="1" si="26"/>
        <v>0.85025599063346424</v>
      </c>
      <c r="C101" s="200">
        <v>14</v>
      </c>
      <c r="G101" s="201"/>
      <c r="H101" s="201"/>
      <c r="I101" s="202"/>
    </row>
    <row r="102" spans="1:9" ht="13.2" customHeight="1" outlineLevel="1" x14ac:dyDescent="0.25">
      <c r="A102" s="41">
        <f t="shared" ca="1" si="26"/>
        <v>0.90202459336979246</v>
      </c>
      <c r="C102" s="200">
        <v>15</v>
      </c>
      <c r="G102" s="201"/>
      <c r="H102" s="201"/>
      <c r="I102" s="202"/>
    </row>
    <row r="103" spans="1:9" ht="13.2" customHeight="1" outlineLevel="1" x14ac:dyDescent="0.25">
      <c r="A103" s="41">
        <f t="shared" ref="A103:A119" ca="1" si="27">RAND()</f>
        <v>0.2780729615946026</v>
      </c>
      <c r="C103" s="200">
        <v>16</v>
      </c>
      <c r="G103" s="201"/>
      <c r="H103" s="201"/>
      <c r="I103" s="202"/>
    </row>
    <row r="104" spans="1:9" ht="13.2" customHeight="1" outlineLevel="1" x14ac:dyDescent="0.25">
      <c r="A104" s="41">
        <f t="shared" ca="1" si="27"/>
        <v>0.38686568885886652</v>
      </c>
      <c r="C104" s="200">
        <v>17</v>
      </c>
      <c r="G104" s="201"/>
      <c r="H104" s="201"/>
      <c r="I104" s="202"/>
    </row>
    <row r="105" spans="1:9" ht="13.2" customHeight="1" outlineLevel="1" x14ac:dyDescent="0.25">
      <c r="A105" s="41">
        <f t="shared" ca="1" si="27"/>
        <v>0.40761701642018799</v>
      </c>
      <c r="C105" s="200">
        <v>18</v>
      </c>
      <c r="G105" s="201"/>
      <c r="H105" s="201"/>
      <c r="I105" s="202"/>
    </row>
    <row r="106" spans="1:9" ht="13.2" customHeight="1" outlineLevel="1" x14ac:dyDescent="0.25">
      <c r="A106" s="41">
        <f t="shared" ca="1" si="27"/>
        <v>0.29789218179045163</v>
      </c>
      <c r="C106" s="200">
        <v>19</v>
      </c>
    </row>
    <row r="107" spans="1:9" ht="13.2" customHeight="1" outlineLevel="1" x14ac:dyDescent="0.25">
      <c r="A107" s="41">
        <f t="shared" ca="1" si="27"/>
        <v>0.94324287743408508</v>
      </c>
      <c r="C107" s="200">
        <v>20</v>
      </c>
    </row>
    <row r="108" spans="1:9" ht="13.2" customHeight="1" outlineLevel="1" x14ac:dyDescent="0.25">
      <c r="A108" s="41">
        <f t="shared" ca="1" si="27"/>
        <v>0.49282752851600131</v>
      </c>
      <c r="C108" s="200">
        <v>21</v>
      </c>
    </row>
    <row r="109" spans="1:9" ht="13.2" customHeight="1" outlineLevel="1" x14ac:dyDescent="0.25">
      <c r="A109" s="41">
        <f t="shared" ca="1" si="27"/>
        <v>0.30593588594176102</v>
      </c>
      <c r="C109" s="200">
        <v>22</v>
      </c>
    </row>
    <row r="110" spans="1:9" ht="13.2" customHeight="1" outlineLevel="1" x14ac:dyDescent="0.25">
      <c r="A110" s="41">
        <f t="shared" ca="1" si="27"/>
        <v>0.68741791020865695</v>
      </c>
      <c r="C110" s="200">
        <v>23</v>
      </c>
    </row>
    <row r="111" spans="1:9" ht="13.2" customHeight="1" outlineLevel="1" x14ac:dyDescent="0.25">
      <c r="A111" s="41">
        <f t="shared" ca="1" si="27"/>
        <v>0.63271819319424971</v>
      </c>
      <c r="C111" s="200">
        <v>24</v>
      </c>
    </row>
    <row r="112" spans="1:9" ht="13.2" customHeight="1" outlineLevel="1" x14ac:dyDescent="0.25">
      <c r="A112" s="41">
        <f t="shared" ca="1" si="27"/>
        <v>0.11771952305685918</v>
      </c>
      <c r="C112" s="200">
        <v>25</v>
      </c>
    </row>
    <row r="113" spans="1:3" ht="13.2" customHeight="1" outlineLevel="1" x14ac:dyDescent="0.25">
      <c r="A113" s="41">
        <f t="shared" ca="1" si="27"/>
        <v>0.32590972363677639</v>
      </c>
      <c r="C113" s="200">
        <v>26</v>
      </c>
    </row>
    <row r="114" spans="1:3" ht="13.2" customHeight="1" outlineLevel="1" x14ac:dyDescent="0.25">
      <c r="A114" s="41">
        <f t="shared" ca="1" si="27"/>
        <v>0.98165748826911592</v>
      </c>
      <c r="C114" s="200">
        <v>27</v>
      </c>
    </row>
    <row r="115" spans="1:3" ht="13.2" customHeight="1" outlineLevel="1" x14ac:dyDescent="0.25">
      <c r="A115" s="41">
        <f t="shared" ca="1" si="27"/>
        <v>0.14016158352784391</v>
      </c>
      <c r="C115" s="200">
        <v>28</v>
      </c>
    </row>
    <row r="116" spans="1:3" ht="13.2" customHeight="1" outlineLevel="1" x14ac:dyDescent="0.25">
      <c r="A116" s="41">
        <f t="shared" ca="1" si="27"/>
        <v>0.45733415925653709</v>
      </c>
      <c r="C116" s="200">
        <v>29</v>
      </c>
    </row>
    <row r="117" spans="1:3" ht="13.2" customHeight="1" outlineLevel="1" x14ac:dyDescent="0.25">
      <c r="A117" s="41">
        <f t="shared" ca="1" si="27"/>
        <v>0.66007351249710688</v>
      </c>
      <c r="C117" s="200">
        <v>30</v>
      </c>
    </row>
    <row r="118" spans="1:3" ht="13.2" customHeight="1" outlineLevel="1" x14ac:dyDescent="0.25">
      <c r="A118" s="41">
        <f t="shared" ca="1" si="27"/>
        <v>0.25201476291533853</v>
      </c>
      <c r="C118" s="200">
        <v>31</v>
      </c>
    </row>
    <row r="119" spans="1:3" ht="13.2" customHeight="1" outlineLevel="1" x14ac:dyDescent="0.25">
      <c r="A119" s="41">
        <f t="shared" ca="1" si="27"/>
        <v>0.43225614136810953</v>
      </c>
      <c r="C119" s="200">
        <v>32</v>
      </c>
    </row>
  </sheetData>
  <mergeCells count="11">
    <mergeCell ref="B16:I16"/>
    <mergeCell ref="B44:I44"/>
    <mergeCell ref="B7:I7"/>
    <mergeCell ref="B1:I1"/>
    <mergeCell ref="B2:I2"/>
    <mergeCell ref="B3:I3"/>
    <mergeCell ref="B4:I4"/>
    <mergeCell ref="B5:I5"/>
    <mergeCell ref="B6:I6"/>
    <mergeCell ref="G42:H42"/>
    <mergeCell ref="G43:H43"/>
  </mergeCells>
  <phoneticPr fontId="0" type="noConversion"/>
  <printOptions horizontalCentered="1"/>
  <pageMargins left="0.78740157480314965" right="0.78740157480314965" top="0.78740157480314965" bottom="0.78740157480314965" header="0.51181102362204722" footer="0.70866141732283472"/>
  <pageSetup paperSize="9" scale="97" orientation="portrait" r:id="rId1"/>
  <headerFooter alignWithMargins="0"/>
  <rowBreaks count="1" manualBreakCount="1">
    <brk id="40" min="1" max="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D661"/>
  </sheetPr>
  <dimension ref="A1:M90"/>
  <sheetViews>
    <sheetView view="pageBreakPreview" topLeftCell="B1" zoomScale="60" zoomScaleNormal="60" workbookViewId="0">
      <selection activeCell="Q26" sqref="Q26"/>
    </sheetView>
  </sheetViews>
  <sheetFormatPr defaultColWidth="9.109375" defaultRowHeight="13.2" customHeight="1" outlineLevelCol="1" x14ac:dyDescent="0.25"/>
  <cols>
    <col min="1" max="1" width="12" style="41" hidden="1" customWidth="1" outlineLevel="1"/>
    <col min="2" max="2" width="6.21875" style="41" customWidth="1" collapsed="1"/>
    <col min="3" max="3" width="7" style="761" customWidth="1"/>
    <col min="4" max="4" width="21.21875" style="41" customWidth="1"/>
    <col min="5" max="5" width="11.109375" style="41" customWidth="1"/>
    <col min="6" max="6" width="25" style="41" customWidth="1"/>
    <col min="7" max="7" width="8.5546875" style="41" customWidth="1"/>
    <col min="8" max="8" width="6.109375" style="41" customWidth="1"/>
    <col min="9" max="9" width="5.6640625" style="149" customWidth="1"/>
    <col min="10" max="10" width="9.88671875" style="41" bestFit="1" customWidth="1"/>
    <col min="11" max="11" width="9.109375" style="41" outlineLevel="1"/>
    <col min="12" max="12" width="9.109375" style="761" outlineLevel="1"/>
    <col min="13" max="16384" width="9.109375" style="41"/>
  </cols>
  <sheetData>
    <row r="1" spans="1:12" x14ac:dyDescent="0.25">
      <c r="B1" s="805" t="s">
        <v>119</v>
      </c>
      <c r="C1" s="805"/>
      <c r="D1" s="805"/>
      <c r="E1" s="805"/>
      <c r="F1" s="805"/>
      <c r="G1" s="805"/>
      <c r="H1" s="805"/>
      <c r="I1" s="805"/>
      <c r="K1" s="145"/>
      <c r="L1" s="146"/>
    </row>
    <row r="2" spans="1:12" x14ac:dyDescent="0.25">
      <c r="B2" s="805" t="s">
        <v>10</v>
      </c>
      <c r="C2" s="805"/>
      <c r="D2" s="805"/>
      <c r="E2" s="805"/>
      <c r="F2" s="805"/>
      <c r="G2" s="805"/>
      <c r="H2" s="805"/>
      <c r="I2" s="805"/>
      <c r="K2" s="145"/>
      <c r="L2" s="146"/>
    </row>
    <row r="3" spans="1:12" x14ac:dyDescent="0.25">
      <c r="B3" s="805" t="s">
        <v>351</v>
      </c>
      <c r="C3" s="805"/>
      <c r="D3" s="805"/>
      <c r="E3" s="805"/>
      <c r="F3" s="805"/>
      <c r="G3" s="805"/>
      <c r="H3" s="805"/>
      <c r="I3" s="805"/>
      <c r="K3" s="145"/>
      <c r="L3" s="146"/>
    </row>
    <row r="4" spans="1:12" x14ac:dyDescent="0.25">
      <c r="B4" s="802" t="s">
        <v>322</v>
      </c>
      <c r="C4" s="802"/>
      <c r="D4" s="802"/>
      <c r="E4" s="802"/>
      <c r="F4" s="802"/>
      <c r="G4" s="802"/>
      <c r="H4" s="802"/>
      <c r="I4" s="802"/>
      <c r="K4" s="145"/>
      <c r="L4" s="146"/>
    </row>
    <row r="5" spans="1:12" x14ac:dyDescent="0.25">
      <c r="B5" s="805" t="s">
        <v>101</v>
      </c>
      <c r="C5" s="805"/>
      <c r="D5" s="805"/>
      <c r="E5" s="805"/>
      <c r="F5" s="805"/>
      <c r="G5" s="805"/>
      <c r="H5" s="805"/>
      <c r="I5" s="805"/>
      <c r="K5" s="145"/>
      <c r="L5" s="146"/>
    </row>
    <row r="6" spans="1:12" x14ac:dyDescent="0.25">
      <c r="B6" s="801" t="s">
        <v>12</v>
      </c>
      <c r="C6" s="801"/>
      <c r="D6" s="801"/>
      <c r="E6" s="801"/>
      <c r="F6" s="801"/>
      <c r="G6" s="801"/>
      <c r="H6" s="801"/>
      <c r="I6" s="801"/>
      <c r="K6" s="145"/>
      <c r="L6" s="146"/>
    </row>
    <row r="7" spans="1:12" x14ac:dyDescent="0.25">
      <c r="B7" s="801" t="s">
        <v>247</v>
      </c>
      <c r="C7" s="801"/>
      <c r="D7" s="801"/>
      <c r="E7" s="801"/>
      <c r="F7" s="801"/>
      <c r="G7" s="801"/>
      <c r="H7" s="801"/>
      <c r="I7" s="801"/>
      <c r="K7" s="145"/>
      <c r="L7" s="146"/>
    </row>
    <row r="8" spans="1:12" ht="15.6" hidden="1" x14ac:dyDescent="0.3">
      <c r="C8" s="151"/>
      <c r="D8" s="761"/>
      <c r="E8" s="147"/>
      <c r="G8" s="150"/>
      <c r="H8" s="150"/>
      <c r="K8" s="145"/>
      <c r="L8" s="146"/>
    </row>
    <row r="9" spans="1:12" hidden="1" x14ac:dyDescent="0.25">
      <c r="D9" s="38"/>
      <c r="G9" s="150"/>
      <c r="H9" s="150"/>
      <c r="K9" s="152" t="s">
        <v>22</v>
      </c>
      <c r="L9" s="146"/>
    </row>
    <row r="10" spans="1:12" ht="15.6" hidden="1" x14ac:dyDescent="0.3">
      <c r="C10" s="153"/>
      <c r="D10" s="761"/>
      <c r="E10" s="761"/>
      <c r="F10" s="151"/>
      <c r="K10" s="152" t="s">
        <v>23</v>
      </c>
      <c r="L10" s="146"/>
    </row>
    <row r="11" spans="1:12" hidden="1" x14ac:dyDescent="0.25">
      <c r="D11" s="761"/>
      <c r="E11" s="761"/>
      <c r="K11" s="152" t="s">
        <v>24</v>
      </c>
      <c r="L11" s="146"/>
    </row>
    <row r="12" spans="1:12" ht="15.6" x14ac:dyDescent="0.3">
      <c r="B12" s="203" t="s">
        <v>463</v>
      </c>
      <c r="C12" s="153"/>
      <c r="D12" s="761"/>
      <c r="E12" s="761"/>
      <c r="G12" s="151"/>
      <c r="H12" s="206" t="s">
        <v>253</v>
      </c>
      <c r="I12" s="207">
        <v>0.39583333333333331</v>
      </c>
      <c r="K12" s="145"/>
      <c r="L12" s="146"/>
    </row>
    <row r="13" spans="1:12" ht="15.6" x14ac:dyDescent="0.3">
      <c r="B13" s="41" t="s">
        <v>261</v>
      </c>
      <c r="C13" s="147"/>
      <c r="D13" s="761"/>
      <c r="E13" s="761"/>
      <c r="G13" s="151"/>
      <c r="H13" s="206" t="s">
        <v>254</v>
      </c>
      <c r="I13" s="204"/>
      <c r="K13" s="145"/>
      <c r="L13" s="146"/>
    </row>
    <row r="14" spans="1:12" s="760" customFormat="1" ht="20.399999999999999" x14ac:dyDescent="0.25">
      <c r="A14" s="154" t="s">
        <v>67</v>
      </c>
      <c r="B14" s="506" t="s">
        <v>328</v>
      </c>
      <c r="C14" s="506" t="s">
        <v>272</v>
      </c>
      <c r="D14" s="506" t="s">
        <v>329</v>
      </c>
      <c r="E14" s="506" t="s">
        <v>330</v>
      </c>
      <c r="F14" s="559" t="s">
        <v>331</v>
      </c>
      <c r="G14" s="560" t="s">
        <v>19</v>
      </c>
      <c r="H14" s="560" t="s">
        <v>25</v>
      </c>
      <c r="I14" s="507" t="s">
        <v>29</v>
      </c>
      <c r="K14" s="152" t="s">
        <v>28</v>
      </c>
      <c r="L14" s="152" t="s">
        <v>25</v>
      </c>
    </row>
    <row r="15" spans="1:12" s="187" customFormat="1" x14ac:dyDescent="0.25">
      <c r="B15" s="801" t="s">
        <v>324</v>
      </c>
      <c r="C15" s="801"/>
      <c r="D15" s="801"/>
      <c r="E15" s="801"/>
      <c r="F15" s="801"/>
      <c r="G15" s="801"/>
      <c r="H15" s="801"/>
      <c r="I15" s="801"/>
      <c r="L15" s="762"/>
    </row>
    <row r="16" spans="1:12" s="187" customFormat="1" ht="12" x14ac:dyDescent="0.25">
      <c r="A16" s="762"/>
      <c r="B16" s="762"/>
      <c r="C16" s="178"/>
      <c r="D16" s="158" t="s">
        <v>21</v>
      </c>
      <c r="E16" s="183"/>
      <c r="F16" s="184"/>
      <c r="G16" s="180"/>
      <c r="H16" s="185"/>
      <c r="I16" s="186"/>
      <c r="K16" s="188"/>
      <c r="L16" s="189"/>
    </row>
    <row r="17" spans="1:13" s="161" customFormat="1" ht="16.05" customHeight="1" x14ac:dyDescent="0.35">
      <c r="A17" s="161">
        <f ca="1">RAND()</f>
        <v>0.92803264398891872</v>
      </c>
      <c r="B17" s="162">
        <v>1</v>
      </c>
      <c r="C17" s="162"/>
      <c r="D17" s="171"/>
      <c r="E17" s="172"/>
      <c r="F17" s="546"/>
      <c r="G17" s="548">
        <v>12.07</v>
      </c>
      <c r="H17" s="167">
        <v>2</v>
      </c>
      <c r="I17" s="168">
        <v>637</v>
      </c>
      <c r="K17" s="170">
        <v>1207</v>
      </c>
      <c r="L17" s="170">
        <v>20</v>
      </c>
    </row>
    <row r="18" spans="1:13" s="161" customFormat="1" ht="16.05" customHeight="1" x14ac:dyDescent="0.35">
      <c r="A18" s="161">
        <f t="shared" ref="A18:A24" ca="1" si="0">RAND()</f>
        <v>0.62122943291062716</v>
      </c>
      <c r="B18" s="162">
        <v>2</v>
      </c>
      <c r="C18" s="770">
        <v>21</v>
      </c>
      <c r="D18" s="771" t="s">
        <v>314</v>
      </c>
      <c r="E18" s="772">
        <v>36317</v>
      </c>
      <c r="F18" s="773" t="s">
        <v>356</v>
      </c>
      <c r="G18" s="548">
        <v>12.07</v>
      </c>
      <c r="H18" s="167">
        <v>2</v>
      </c>
      <c r="I18" s="168">
        <v>637</v>
      </c>
      <c r="K18" s="170">
        <v>1207</v>
      </c>
      <c r="L18" s="170">
        <v>20</v>
      </c>
    </row>
    <row r="19" spans="1:13" s="161" customFormat="1" ht="16.05" customHeight="1" x14ac:dyDescent="0.35">
      <c r="A19" s="161">
        <f t="shared" ca="1" si="0"/>
        <v>0.71501860200508627</v>
      </c>
      <c r="B19" s="162">
        <v>3</v>
      </c>
      <c r="C19" s="770">
        <v>86</v>
      </c>
      <c r="D19" s="771" t="s">
        <v>396</v>
      </c>
      <c r="E19" s="772" t="s">
        <v>397</v>
      </c>
      <c r="F19" s="773" t="s">
        <v>399</v>
      </c>
      <c r="G19" s="548">
        <v>11.44</v>
      </c>
      <c r="H19" s="167">
        <v>2</v>
      </c>
      <c r="I19" s="168">
        <v>765</v>
      </c>
      <c r="K19" s="170">
        <v>1144</v>
      </c>
      <c r="L19" s="170">
        <v>20</v>
      </c>
    </row>
    <row r="20" spans="1:13" s="161" customFormat="1" ht="16.05" customHeight="1" x14ac:dyDescent="0.35">
      <c r="A20" s="161">
        <f t="shared" ca="1" si="0"/>
        <v>0.59557041413513578</v>
      </c>
      <c r="B20" s="162">
        <v>4</v>
      </c>
      <c r="C20" s="770">
        <v>99</v>
      </c>
      <c r="D20" s="771" t="s">
        <v>421</v>
      </c>
      <c r="E20" s="772" t="s">
        <v>422</v>
      </c>
      <c r="F20" s="773" t="s">
        <v>424</v>
      </c>
      <c r="G20" s="548">
        <v>12.14</v>
      </c>
      <c r="H20" s="167">
        <v>2</v>
      </c>
      <c r="I20" s="168">
        <v>624</v>
      </c>
      <c r="K20" s="170">
        <v>1214</v>
      </c>
      <c r="L20" s="170">
        <v>20</v>
      </c>
    </row>
    <row r="21" spans="1:13" s="161" customFormat="1" ht="16.05" customHeight="1" x14ac:dyDescent="0.35">
      <c r="A21" s="161">
        <f t="shared" ca="1" si="0"/>
        <v>0.53306812244243418</v>
      </c>
      <c r="B21" s="162">
        <v>5</v>
      </c>
      <c r="C21" s="770">
        <v>89</v>
      </c>
      <c r="D21" s="771" t="s">
        <v>402</v>
      </c>
      <c r="E21" s="772" t="s">
        <v>403</v>
      </c>
      <c r="F21" s="773" t="s">
        <v>399</v>
      </c>
      <c r="G21" s="548">
        <v>11.89</v>
      </c>
      <c r="H21" s="167">
        <v>2</v>
      </c>
      <c r="I21" s="168">
        <v>673</v>
      </c>
      <c r="K21" s="170">
        <v>1189</v>
      </c>
      <c r="L21" s="170">
        <v>20</v>
      </c>
      <c r="M21" s="161" t="s">
        <v>239</v>
      </c>
    </row>
    <row r="22" spans="1:13" s="161" customFormat="1" ht="16.05" customHeight="1" x14ac:dyDescent="0.35">
      <c r="A22" s="161">
        <f t="shared" ca="1" si="0"/>
        <v>0.43240842536633928</v>
      </c>
      <c r="B22" s="162">
        <v>6</v>
      </c>
      <c r="C22" s="770">
        <v>107</v>
      </c>
      <c r="D22" s="771" t="s">
        <v>457</v>
      </c>
      <c r="E22" s="772" t="s">
        <v>458</v>
      </c>
      <c r="F22" s="773" t="s">
        <v>460</v>
      </c>
      <c r="G22" s="548">
        <v>11.89</v>
      </c>
      <c r="H22" s="167">
        <v>2</v>
      </c>
      <c r="I22" s="168">
        <v>673</v>
      </c>
      <c r="K22" s="170">
        <v>1189</v>
      </c>
      <c r="L22" s="170">
        <v>20</v>
      </c>
    </row>
    <row r="23" spans="1:13" s="161" customFormat="1" ht="16.05" customHeight="1" x14ac:dyDescent="0.35">
      <c r="A23" s="161">
        <f t="shared" ca="1" si="0"/>
        <v>0.50982966467463553</v>
      </c>
      <c r="B23" s="162">
        <v>7</v>
      </c>
      <c r="C23" s="162"/>
      <c r="D23" s="171"/>
      <c r="E23" s="172"/>
      <c r="F23" s="546"/>
      <c r="G23" s="548">
        <v>11.65</v>
      </c>
      <c r="H23" s="167">
        <v>2</v>
      </c>
      <c r="I23" s="168">
        <v>721</v>
      </c>
      <c r="K23" s="170">
        <v>1165</v>
      </c>
      <c r="L23" s="170">
        <v>20</v>
      </c>
    </row>
    <row r="24" spans="1:13" s="161" customFormat="1" ht="16.05" customHeight="1" x14ac:dyDescent="0.35">
      <c r="A24" s="161">
        <f t="shared" ca="1" si="0"/>
        <v>0.17770870150314932</v>
      </c>
      <c r="B24" s="162">
        <v>8</v>
      </c>
      <c r="C24" s="162"/>
      <c r="D24" s="171"/>
      <c r="E24" s="172"/>
      <c r="F24" s="546"/>
      <c r="G24" s="548">
        <v>12.07</v>
      </c>
      <c r="H24" s="167">
        <v>2</v>
      </c>
      <c r="I24" s="168">
        <v>637</v>
      </c>
      <c r="K24" s="170">
        <v>1207</v>
      </c>
      <c r="L24" s="170">
        <v>20</v>
      </c>
    </row>
    <row r="25" spans="1:13" s="187" customFormat="1" ht="12" x14ac:dyDescent="0.25">
      <c r="A25" s="762"/>
      <c r="B25" s="762"/>
      <c r="C25" s="762"/>
      <c r="E25" s="193"/>
      <c r="F25" s="193"/>
      <c r="G25" s="194"/>
      <c r="H25" s="195"/>
      <c r="I25" s="181"/>
      <c r="K25" s="188"/>
      <c r="L25" s="196"/>
    </row>
    <row r="26" spans="1:13" s="187" customFormat="1" ht="12" x14ac:dyDescent="0.25">
      <c r="A26" s="762"/>
      <c r="B26" s="762"/>
      <c r="C26" s="178"/>
      <c r="D26" s="158" t="s">
        <v>63</v>
      </c>
      <c r="E26" s="183"/>
      <c r="F26" s="184"/>
      <c r="G26" s="180"/>
      <c r="H26" s="185"/>
      <c r="I26" s="186"/>
      <c r="K26" s="188"/>
      <c r="L26" s="189"/>
    </row>
    <row r="27" spans="1:13" s="161" customFormat="1" ht="16.05" customHeight="1" x14ac:dyDescent="0.35">
      <c r="A27" s="161">
        <f ca="1">RAND()</f>
        <v>0.45591773639730415</v>
      </c>
      <c r="B27" s="162">
        <v>1</v>
      </c>
      <c r="C27" s="162"/>
      <c r="D27" s="171"/>
      <c r="E27" s="172"/>
      <c r="F27" s="546"/>
      <c r="G27" s="548">
        <v>12.07</v>
      </c>
      <c r="H27" s="167">
        <v>2</v>
      </c>
      <c r="I27" s="168">
        <v>637</v>
      </c>
      <c r="K27" s="170">
        <v>1207</v>
      </c>
      <c r="L27" s="170">
        <v>20</v>
      </c>
    </row>
    <row r="28" spans="1:13" s="161" customFormat="1" ht="16.05" customHeight="1" x14ac:dyDescent="0.35">
      <c r="A28" s="161">
        <f t="shared" ref="A28:A34" ca="1" si="1">RAND()</f>
        <v>0.18320453373393719</v>
      </c>
      <c r="B28" s="162">
        <v>2</v>
      </c>
      <c r="C28" s="770">
        <v>101</v>
      </c>
      <c r="D28" s="771" t="s">
        <v>427</v>
      </c>
      <c r="E28" s="772" t="s">
        <v>428</v>
      </c>
      <c r="F28" s="773" t="s">
        <v>424</v>
      </c>
      <c r="G28" s="548">
        <v>12.19</v>
      </c>
      <c r="H28" s="167">
        <v>0.8</v>
      </c>
      <c r="I28" s="168">
        <v>614</v>
      </c>
      <c r="K28" s="170">
        <v>1219</v>
      </c>
      <c r="L28" s="198">
        <v>8</v>
      </c>
      <c r="M28" s="161" t="s">
        <v>238</v>
      </c>
    </row>
    <row r="29" spans="1:13" s="161" customFormat="1" ht="16.05" customHeight="1" x14ac:dyDescent="0.3">
      <c r="A29" s="161">
        <f t="shared" ca="1" si="1"/>
        <v>0.7469046314392539</v>
      </c>
      <c r="B29" s="162">
        <v>3</v>
      </c>
      <c r="C29" s="781">
        <v>71</v>
      </c>
      <c r="D29" s="771" t="s">
        <v>380</v>
      </c>
      <c r="E29" s="772" t="s">
        <v>381</v>
      </c>
      <c r="F29" s="773" t="s">
        <v>383</v>
      </c>
      <c r="G29" s="548">
        <v>11.44</v>
      </c>
      <c r="H29" s="167">
        <v>0.8</v>
      </c>
      <c r="I29" s="168">
        <v>765</v>
      </c>
      <c r="K29" s="170">
        <v>1144</v>
      </c>
      <c r="L29" s="198">
        <v>8</v>
      </c>
    </row>
    <row r="30" spans="1:13" s="161" customFormat="1" ht="16.05" customHeight="1" x14ac:dyDescent="0.35">
      <c r="A30" s="161">
        <f t="shared" ca="1" si="1"/>
        <v>0.63211723497625016</v>
      </c>
      <c r="B30" s="162">
        <v>4</v>
      </c>
      <c r="C30" s="770">
        <v>44</v>
      </c>
      <c r="D30" s="771" t="s">
        <v>306</v>
      </c>
      <c r="E30" s="772" t="s">
        <v>307</v>
      </c>
      <c r="F30" s="773" t="s">
        <v>364</v>
      </c>
      <c r="G30" s="548">
        <v>11.78</v>
      </c>
      <c r="H30" s="167">
        <v>0.8</v>
      </c>
      <c r="I30" s="168">
        <v>695</v>
      </c>
      <c r="K30" s="170">
        <v>1178</v>
      </c>
      <c r="L30" s="198">
        <v>8</v>
      </c>
    </row>
    <row r="31" spans="1:13" s="161" customFormat="1" ht="16.05" customHeight="1" x14ac:dyDescent="0.35">
      <c r="A31" s="161">
        <f t="shared" ca="1" si="1"/>
        <v>0.60070234611525231</v>
      </c>
      <c r="B31" s="162">
        <v>5</v>
      </c>
      <c r="C31" s="770">
        <v>88</v>
      </c>
      <c r="D31" s="771" t="s">
        <v>411</v>
      </c>
      <c r="E31" s="772" t="s">
        <v>412</v>
      </c>
      <c r="F31" s="773" t="s">
        <v>399</v>
      </c>
      <c r="G31" s="548">
        <v>11.22</v>
      </c>
      <c r="H31" s="167">
        <v>0.8</v>
      </c>
      <c r="I31" s="168">
        <v>812</v>
      </c>
      <c r="K31" s="170">
        <v>1122</v>
      </c>
      <c r="L31" s="198">
        <v>8</v>
      </c>
    </row>
    <row r="32" spans="1:13" s="161" customFormat="1" ht="16.05" customHeight="1" x14ac:dyDescent="0.35">
      <c r="A32" s="161">
        <f t="shared" ca="1" si="1"/>
        <v>0.97208962053303627</v>
      </c>
      <c r="B32" s="162">
        <v>6</v>
      </c>
      <c r="C32" s="770">
        <v>116</v>
      </c>
      <c r="D32" s="771" t="s">
        <v>453</v>
      </c>
      <c r="E32" s="772" t="s">
        <v>454</v>
      </c>
      <c r="F32" s="773" t="s">
        <v>448</v>
      </c>
      <c r="G32" s="548">
        <v>11.6</v>
      </c>
      <c r="H32" s="167">
        <v>0.8</v>
      </c>
      <c r="I32" s="168">
        <v>732</v>
      </c>
      <c r="K32" s="170">
        <v>1160</v>
      </c>
      <c r="L32" s="198">
        <v>8</v>
      </c>
    </row>
    <row r="33" spans="1:12" s="161" customFormat="1" ht="16.05" customHeight="1" x14ac:dyDescent="0.35">
      <c r="A33" s="161">
        <f t="shared" ca="1" si="1"/>
        <v>0.45460454137905815</v>
      </c>
      <c r="B33" s="162">
        <v>7</v>
      </c>
      <c r="C33" s="770">
        <v>45</v>
      </c>
      <c r="D33" s="771" t="s">
        <v>310</v>
      </c>
      <c r="E33" s="772" t="s">
        <v>311</v>
      </c>
      <c r="F33" s="773" t="s">
        <v>364</v>
      </c>
      <c r="G33" s="548">
        <v>11.53</v>
      </c>
      <c r="H33" s="167">
        <v>0.8</v>
      </c>
      <c r="I33" s="168">
        <v>746</v>
      </c>
      <c r="K33" s="170">
        <v>1153</v>
      </c>
      <c r="L33" s="198">
        <v>8</v>
      </c>
    </row>
    <row r="34" spans="1:12" s="161" customFormat="1" ht="16.05" customHeight="1" x14ac:dyDescent="0.35">
      <c r="A34" s="161">
        <f t="shared" ca="1" si="1"/>
        <v>0.15528664828414596</v>
      </c>
      <c r="B34" s="162">
        <v>8</v>
      </c>
      <c r="C34" s="162"/>
      <c r="D34" s="171"/>
      <c r="E34" s="172"/>
      <c r="F34" s="546"/>
      <c r="G34" s="548">
        <v>12.07</v>
      </c>
      <c r="H34" s="167">
        <v>2</v>
      </c>
      <c r="I34" s="168">
        <v>637</v>
      </c>
      <c r="K34" s="170">
        <v>1207</v>
      </c>
      <c r="L34" s="170">
        <v>20</v>
      </c>
    </row>
    <row r="35" spans="1:12" s="161" customFormat="1" ht="12" x14ac:dyDescent="0.35">
      <c r="B35" s="549"/>
      <c r="C35" s="549"/>
      <c r="D35" s="755"/>
      <c r="E35" s="756"/>
      <c r="F35" s="757"/>
      <c r="G35" s="554"/>
      <c r="H35" s="555"/>
      <c r="I35" s="556"/>
      <c r="K35" s="170"/>
      <c r="L35" s="170"/>
    </row>
    <row r="36" spans="1:12" s="161" customFormat="1" ht="12" x14ac:dyDescent="0.25">
      <c r="B36" s="762"/>
      <c r="C36" s="178"/>
      <c r="D36" s="158" t="s">
        <v>64</v>
      </c>
      <c r="E36" s="183"/>
      <c r="F36" s="184"/>
      <c r="G36" s="180"/>
      <c r="H36" s="185"/>
      <c r="I36" s="186"/>
      <c r="J36" s="187"/>
      <c r="K36" s="188"/>
      <c r="L36" s="189"/>
    </row>
    <row r="37" spans="1:12" s="161" customFormat="1" ht="16.05" customHeight="1" x14ac:dyDescent="0.35">
      <c r="B37" s="162">
        <v>1</v>
      </c>
      <c r="C37" s="162"/>
      <c r="D37" s="171"/>
      <c r="E37" s="172"/>
      <c r="F37" s="546"/>
      <c r="G37" s="548">
        <v>12.07</v>
      </c>
      <c r="H37" s="167">
        <v>2</v>
      </c>
      <c r="I37" s="168">
        <v>637</v>
      </c>
      <c r="K37" s="170">
        <v>1207</v>
      </c>
      <c r="L37" s="170">
        <v>20</v>
      </c>
    </row>
    <row r="38" spans="1:12" s="161" customFormat="1" ht="16.05" customHeight="1" x14ac:dyDescent="0.35">
      <c r="B38" s="162">
        <v>2</v>
      </c>
      <c r="C38" s="770">
        <v>77</v>
      </c>
      <c r="D38" s="771" t="s">
        <v>308</v>
      </c>
      <c r="E38" s="772" t="s">
        <v>309</v>
      </c>
      <c r="F38" s="773" t="s">
        <v>391</v>
      </c>
      <c r="G38" s="548">
        <v>12.19</v>
      </c>
      <c r="H38" s="167">
        <v>0.8</v>
      </c>
      <c r="I38" s="168">
        <v>614</v>
      </c>
      <c r="K38" s="170">
        <v>1219</v>
      </c>
      <c r="L38" s="198">
        <v>8</v>
      </c>
    </row>
    <row r="39" spans="1:12" s="161" customFormat="1" ht="16.05" customHeight="1" x14ac:dyDescent="0.3">
      <c r="B39" s="162">
        <v>3</v>
      </c>
      <c r="C39" s="781">
        <v>1</v>
      </c>
      <c r="D39" s="771" t="s">
        <v>312</v>
      </c>
      <c r="E39" s="772" t="s">
        <v>313</v>
      </c>
      <c r="F39" s="773" t="s">
        <v>354</v>
      </c>
      <c r="G39" s="548">
        <v>11.44</v>
      </c>
      <c r="H39" s="167">
        <v>0.8</v>
      </c>
      <c r="I39" s="168">
        <v>765</v>
      </c>
      <c r="K39" s="170">
        <v>1144</v>
      </c>
      <c r="L39" s="198">
        <v>8</v>
      </c>
    </row>
    <row r="40" spans="1:12" s="161" customFormat="1" ht="16.05" customHeight="1" x14ac:dyDescent="0.35">
      <c r="B40" s="162">
        <v>4</v>
      </c>
      <c r="C40" s="770">
        <v>43</v>
      </c>
      <c r="D40" s="771" t="s">
        <v>371</v>
      </c>
      <c r="E40" s="772" t="s">
        <v>372</v>
      </c>
      <c r="F40" s="773" t="s">
        <v>364</v>
      </c>
      <c r="G40" s="548">
        <v>11.78</v>
      </c>
      <c r="H40" s="167">
        <v>0.8</v>
      </c>
      <c r="I40" s="168">
        <v>695</v>
      </c>
      <c r="K40" s="170">
        <v>1178</v>
      </c>
      <c r="L40" s="198">
        <v>8</v>
      </c>
    </row>
    <row r="41" spans="1:12" s="161" customFormat="1" ht="16.05" customHeight="1" x14ac:dyDescent="0.35">
      <c r="B41" s="162">
        <v>5</v>
      </c>
      <c r="C41" s="770">
        <v>83</v>
      </c>
      <c r="D41" s="771" t="s">
        <v>405</v>
      </c>
      <c r="E41" s="772" t="s">
        <v>406</v>
      </c>
      <c r="F41" s="773" t="s">
        <v>399</v>
      </c>
      <c r="G41" s="548">
        <v>11.22</v>
      </c>
      <c r="H41" s="167">
        <v>0.8</v>
      </c>
      <c r="I41" s="168">
        <v>812</v>
      </c>
      <c r="K41" s="170">
        <v>1122</v>
      </c>
      <c r="L41" s="198">
        <v>8</v>
      </c>
    </row>
    <row r="42" spans="1:12" s="161" customFormat="1" ht="16.05" customHeight="1" x14ac:dyDescent="0.35">
      <c r="B42" s="162">
        <v>6</v>
      </c>
      <c r="C42" s="770">
        <v>78</v>
      </c>
      <c r="D42" s="771" t="s">
        <v>304</v>
      </c>
      <c r="E42" s="772" t="s">
        <v>305</v>
      </c>
      <c r="F42" s="773" t="s">
        <v>391</v>
      </c>
      <c r="G42" s="548">
        <v>11.6</v>
      </c>
      <c r="H42" s="167">
        <v>0.8</v>
      </c>
      <c r="I42" s="168">
        <v>732</v>
      </c>
      <c r="K42" s="170">
        <v>1160</v>
      </c>
      <c r="L42" s="198">
        <v>8</v>
      </c>
    </row>
    <row r="43" spans="1:12" s="161" customFormat="1" ht="16.05" customHeight="1" x14ac:dyDescent="0.35">
      <c r="B43" s="162">
        <v>7</v>
      </c>
      <c r="C43" s="770">
        <v>40</v>
      </c>
      <c r="D43" s="771" t="s">
        <v>375</v>
      </c>
      <c r="E43" s="772" t="s">
        <v>376</v>
      </c>
      <c r="F43" s="773" t="s">
        <v>377</v>
      </c>
      <c r="G43" s="548">
        <v>11.53</v>
      </c>
      <c r="H43" s="167">
        <v>0.8</v>
      </c>
      <c r="I43" s="168">
        <v>746</v>
      </c>
      <c r="K43" s="170">
        <v>1153</v>
      </c>
      <c r="L43" s="198">
        <v>8</v>
      </c>
    </row>
    <row r="44" spans="1:12" s="161" customFormat="1" ht="16.05" customHeight="1" x14ac:dyDescent="0.35">
      <c r="B44" s="162">
        <v>8</v>
      </c>
      <c r="C44" s="162"/>
      <c r="D44" s="171"/>
      <c r="E44" s="172"/>
      <c r="F44" s="546"/>
      <c r="G44" s="548">
        <v>12.07</v>
      </c>
      <c r="H44" s="167">
        <v>2</v>
      </c>
      <c r="I44" s="168">
        <v>637</v>
      </c>
      <c r="K44" s="170">
        <v>1207</v>
      </c>
      <c r="L44" s="170">
        <v>20</v>
      </c>
    </row>
    <row r="45" spans="1:12" s="161" customFormat="1" ht="12" x14ac:dyDescent="0.35">
      <c r="B45" s="549"/>
      <c r="C45" s="550"/>
      <c r="D45" s="551"/>
      <c r="E45" s="552"/>
      <c r="F45" s="553"/>
      <c r="G45" s="554"/>
      <c r="H45" s="555"/>
      <c r="I45" s="556"/>
      <c r="K45" s="170"/>
      <c r="L45" s="170"/>
    </row>
    <row r="46" spans="1:12" s="161" customFormat="1" x14ac:dyDescent="0.35">
      <c r="B46" s="557" t="s">
        <v>325</v>
      </c>
      <c r="C46" s="550"/>
      <c r="D46" s="551"/>
      <c r="E46" s="552"/>
      <c r="F46" s="553"/>
      <c r="G46" s="554"/>
      <c r="H46" s="555"/>
      <c r="I46" s="556"/>
      <c r="K46" s="170"/>
      <c r="L46" s="170"/>
    </row>
    <row r="47" spans="1:12" s="161" customFormat="1" x14ac:dyDescent="0.35">
      <c r="B47" s="557" t="s">
        <v>326</v>
      </c>
      <c r="C47" s="550"/>
      <c r="D47" s="551"/>
      <c r="E47" s="552"/>
      <c r="F47" s="553"/>
      <c r="G47" s="554"/>
      <c r="H47" s="555"/>
      <c r="I47" s="556"/>
      <c r="K47" s="170"/>
      <c r="L47" s="170"/>
    </row>
    <row r="48" spans="1:12" s="161" customFormat="1" x14ac:dyDescent="0.35">
      <c r="B48" s="557" t="s">
        <v>327</v>
      </c>
      <c r="C48" s="550"/>
      <c r="D48" s="551"/>
      <c r="E48" s="552"/>
      <c r="F48" s="553"/>
      <c r="G48" s="554"/>
      <c r="H48" s="555"/>
      <c r="I48" s="556"/>
      <c r="K48" s="170"/>
      <c r="L48" s="170"/>
    </row>
    <row r="49" spans="1:12" s="187" customFormat="1" ht="12" x14ac:dyDescent="0.25">
      <c r="A49" s="762"/>
      <c r="B49" s="762"/>
      <c r="C49" s="762"/>
      <c r="E49" s="193"/>
      <c r="F49" s="193"/>
      <c r="G49" s="194"/>
      <c r="H49" s="195"/>
      <c r="I49" s="181"/>
      <c r="K49" s="188"/>
      <c r="L49" s="196"/>
    </row>
    <row r="50" spans="1:12" s="187" customFormat="1" ht="12" x14ac:dyDescent="0.25">
      <c r="A50" s="762"/>
      <c r="B50" s="762"/>
      <c r="C50" s="178"/>
      <c r="D50" s="158" t="s">
        <v>126</v>
      </c>
      <c r="E50" s="183"/>
      <c r="F50" s="184"/>
      <c r="G50" s="180"/>
      <c r="H50" s="185"/>
      <c r="I50" s="186"/>
      <c r="K50" s="188"/>
      <c r="L50" s="189"/>
    </row>
    <row r="51" spans="1:12" s="161" customFormat="1" ht="12" x14ac:dyDescent="0.25">
      <c r="A51" s="161">
        <f ca="1">RAND()</f>
        <v>0.56276867878727521</v>
      </c>
      <c r="B51" s="162">
        <v>1</v>
      </c>
      <c r="C51" s="197"/>
      <c r="D51" s="163" t="e">
        <f>VLOOKUP(C51,Уч!$A$2:$L$34,2,FALSE)</f>
        <v>#N/A</v>
      </c>
      <c r="E51" s="164" t="e">
        <f>VLOOKUP(C51,Уч!$A$2:$L$34,3,FALSE)</f>
        <v>#N/A</v>
      </c>
      <c r="F51" s="165" t="e">
        <f>VLOOKUP(C51,Уч!$A$2:$L$34,5,FALSE)</f>
        <v>#N/A</v>
      </c>
      <c r="G51" s="166">
        <f t="shared" ref="G51:G58" si="2">K51/100</f>
        <v>0</v>
      </c>
      <c r="H51" s="167">
        <f t="shared" ref="H51:H58" si="3">L51/10</f>
        <v>0</v>
      </c>
      <c r="I51" s="168">
        <f t="shared" ref="I51:I58" si="4">IF(K51&gt;1783,0,IF(K51=0,0,ROUNDDOWN(25.4347*(18-K51/100)^1.81,0)))</f>
        <v>0</v>
      </c>
      <c r="K51" s="198"/>
      <c r="L51" s="198"/>
    </row>
    <row r="52" spans="1:12" s="161" customFormat="1" ht="12" x14ac:dyDescent="0.35">
      <c r="A52" s="161">
        <f t="shared" ref="A52:A90" ca="1" si="5">RAND()</f>
        <v>0.62586831260808851</v>
      </c>
      <c r="B52" s="162">
        <v>2</v>
      </c>
      <c r="C52" s="162">
        <v>52</v>
      </c>
      <c r="D52" s="171" t="e">
        <f>VLOOKUP(C52,Уч!$A$2:$L$34,2,FALSE)</f>
        <v>#N/A</v>
      </c>
      <c r="E52" s="172" t="e">
        <f>VLOOKUP(C52,Уч!$A$2:$L$34,3,FALSE)</f>
        <v>#N/A</v>
      </c>
      <c r="F52" s="173" t="e">
        <f>VLOOKUP(C52,Уч!$A$2:$L$34,5,FALSE)</f>
        <v>#N/A</v>
      </c>
      <c r="G52" s="174">
        <f t="shared" si="2"/>
        <v>10.93</v>
      </c>
      <c r="H52" s="175">
        <f t="shared" si="3"/>
        <v>1</v>
      </c>
      <c r="I52" s="176">
        <f t="shared" si="4"/>
        <v>876</v>
      </c>
      <c r="K52" s="170">
        <v>1093</v>
      </c>
      <c r="L52" s="198">
        <v>10</v>
      </c>
    </row>
    <row r="53" spans="1:12" s="161" customFormat="1" ht="12" x14ac:dyDescent="0.25">
      <c r="A53" s="161">
        <f t="shared" ca="1" si="5"/>
        <v>0.41370504794434593</v>
      </c>
      <c r="B53" s="162">
        <v>3</v>
      </c>
      <c r="C53" s="762">
        <v>13</v>
      </c>
      <c r="D53" s="171" t="e">
        <f>VLOOKUP(C53,Уч!$A$2:$L$34,2,FALSE)</f>
        <v>#N/A</v>
      </c>
      <c r="E53" s="172" t="e">
        <f>VLOOKUP(C53,Уч!$A$2:$L$34,3,FALSE)</f>
        <v>#N/A</v>
      </c>
      <c r="F53" s="173" t="e">
        <f>VLOOKUP(C53,Уч!$A$2:$L$34,5,FALSE)</f>
        <v>#N/A</v>
      </c>
      <c r="G53" s="174">
        <f t="shared" si="2"/>
        <v>11.41</v>
      </c>
      <c r="H53" s="175">
        <f t="shared" si="3"/>
        <v>1</v>
      </c>
      <c r="I53" s="176">
        <f t="shared" si="4"/>
        <v>771</v>
      </c>
      <c r="K53" s="170">
        <v>1141</v>
      </c>
      <c r="L53" s="198">
        <v>10</v>
      </c>
    </row>
    <row r="54" spans="1:12" s="161" customFormat="1" ht="12" x14ac:dyDescent="0.35">
      <c r="A54" s="161">
        <f t="shared" ca="1" si="5"/>
        <v>0.27961794014788999</v>
      </c>
      <c r="B54" s="162">
        <v>4</v>
      </c>
      <c r="C54" s="162">
        <v>32</v>
      </c>
      <c r="D54" s="171" t="e">
        <f>VLOOKUP(C54,Уч!$A$2:$L$34,2,FALSE)</f>
        <v>#N/A</v>
      </c>
      <c r="E54" s="172" t="e">
        <f>VLOOKUP(C54,Уч!$A$2:$L$34,3,FALSE)</f>
        <v>#N/A</v>
      </c>
      <c r="F54" s="173" t="e">
        <f>VLOOKUP(C54,Уч!$A$2:$L$34,5,FALSE)</f>
        <v>#N/A</v>
      </c>
      <c r="G54" s="174">
        <f t="shared" si="2"/>
        <v>11.15</v>
      </c>
      <c r="H54" s="175">
        <f t="shared" si="3"/>
        <v>1</v>
      </c>
      <c r="I54" s="176">
        <f t="shared" si="4"/>
        <v>827</v>
      </c>
      <c r="K54" s="170">
        <v>1115</v>
      </c>
      <c r="L54" s="198">
        <v>10</v>
      </c>
    </row>
    <row r="55" spans="1:12" s="161" customFormat="1" ht="12" x14ac:dyDescent="0.35">
      <c r="A55" s="161">
        <f t="shared" ca="1" si="5"/>
        <v>0.27115917884691332</v>
      </c>
      <c r="B55" s="162">
        <v>5</v>
      </c>
      <c r="C55" s="162">
        <v>25</v>
      </c>
      <c r="D55" s="171" t="e">
        <f>VLOOKUP(C55,Уч!$A$2:$L$34,2,FALSE)</f>
        <v>#N/A</v>
      </c>
      <c r="E55" s="172" t="e">
        <f>VLOOKUP(C55,Уч!$A$2:$L$34,3,FALSE)</f>
        <v>#N/A</v>
      </c>
      <c r="F55" s="173" t="e">
        <f>VLOOKUP(C55,Уч!$A$2:$L$34,5,FALSE)</f>
        <v>#N/A</v>
      </c>
      <c r="G55" s="174">
        <f t="shared" si="2"/>
        <v>11.3</v>
      </c>
      <c r="H55" s="175">
        <f t="shared" si="3"/>
        <v>1</v>
      </c>
      <c r="I55" s="176">
        <f t="shared" si="4"/>
        <v>795</v>
      </c>
      <c r="K55" s="170">
        <v>1130</v>
      </c>
      <c r="L55" s="198">
        <v>10</v>
      </c>
    </row>
    <row r="56" spans="1:12" s="161" customFormat="1" ht="12" x14ac:dyDescent="0.35">
      <c r="A56" s="161">
        <f t="shared" ca="1" si="5"/>
        <v>0.68138229981282028</v>
      </c>
      <c r="B56" s="162">
        <v>6</v>
      </c>
      <c r="C56" s="162">
        <v>24</v>
      </c>
      <c r="D56" s="171" t="e">
        <f>VLOOKUP(C56,Уч!$A$2:$L$34,2,FALSE)</f>
        <v>#N/A</v>
      </c>
      <c r="E56" s="172" t="e">
        <f>VLOOKUP(C56,Уч!$A$2:$L$34,3,FALSE)</f>
        <v>#N/A</v>
      </c>
      <c r="F56" s="173" t="e">
        <f>VLOOKUP(C56,Уч!$A$2:$L$34,5,FALSE)</f>
        <v>#N/A</v>
      </c>
      <c r="G56" s="174">
        <f t="shared" si="2"/>
        <v>11.15</v>
      </c>
      <c r="H56" s="175">
        <f t="shared" si="3"/>
        <v>1</v>
      </c>
      <c r="I56" s="176">
        <f t="shared" si="4"/>
        <v>827</v>
      </c>
      <c r="K56" s="170">
        <v>1115</v>
      </c>
      <c r="L56" s="198">
        <v>10</v>
      </c>
    </row>
    <row r="57" spans="1:12" s="161" customFormat="1" ht="12" x14ac:dyDescent="0.35">
      <c r="A57" s="161">
        <f t="shared" ca="1" si="5"/>
        <v>0.19356232411535546</v>
      </c>
      <c r="B57" s="162">
        <v>7</v>
      </c>
      <c r="C57" s="162">
        <v>53</v>
      </c>
      <c r="D57" s="171" t="e">
        <f>VLOOKUP(C57,Уч!$A$2:$L$34,2,FALSE)</f>
        <v>#N/A</v>
      </c>
      <c r="E57" s="172" t="e">
        <f>VLOOKUP(C57,Уч!$A$2:$L$34,3,FALSE)</f>
        <v>#N/A</v>
      </c>
      <c r="F57" s="173" t="e">
        <f>VLOOKUP(C57,Уч!$A$2:$L$34,5,FALSE)</f>
        <v>#N/A</v>
      </c>
      <c r="G57" s="174">
        <f t="shared" si="2"/>
        <v>10.91</v>
      </c>
      <c r="H57" s="175">
        <f t="shared" si="3"/>
        <v>1</v>
      </c>
      <c r="I57" s="176">
        <f t="shared" si="4"/>
        <v>881</v>
      </c>
      <c r="K57" s="170">
        <v>1091</v>
      </c>
      <c r="L57" s="198">
        <v>10</v>
      </c>
    </row>
    <row r="58" spans="1:12" s="161" customFormat="1" ht="12" x14ac:dyDescent="0.35">
      <c r="A58" s="161">
        <f t="shared" ca="1" si="5"/>
        <v>6.7321369265610831E-2</v>
      </c>
      <c r="B58" s="162">
        <v>8</v>
      </c>
      <c r="C58" s="177">
        <v>1385</v>
      </c>
      <c r="D58" s="163" t="e">
        <f>VLOOKUP(C58,Уч!$A$2:$L$34,2,FALSE)</f>
        <v>#N/A</v>
      </c>
      <c r="E58" s="164" t="e">
        <f>VLOOKUP(C58,Уч!$A$2:$L$34,3,FALSE)</f>
        <v>#N/A</v>
      </c>
      <c r="F58" s="199" t="e">
        <f>VLOOKUP(C58,Уч!$A$2:$L$34,5,FALSE)</f>
        <v>#N/A</v>
      </c>
      <c r="G58" s="166">
        <f t="shared" si="2"/>
        <v>0</v>
      </c>
      <c r="H58" s="167">
        <f t="shared" si="3"/>
        <v>0</v>
      </c>
      <c r="I58" s="168">
        <f t="shared" si="4"/>
        <v>0</v>
      </c>
      <c r="K58" s="170"/>
      <c r="L58" s="170"/>
    </row>
    <row r="59" spans="1:12" x14ac:dyDescent="0.25">
      <c r="A59" s="41">
        <f t="shared" ca="1" si="5"/>
        <v>2.3781838119758425E-2</v>
      </c>
      <c r="C59" s="200">
        <v>1</v>
      </c>
      <c r="G59" s="201"/>
      <c r="H59" s="201"/>
      <c r="I59" s="202"/>
    </row>
    <row r="60" spans="1:12" x14ac:dyDescent="0.25">
      <c r="A60" s="41">
        <f t="shared" ca="1" si="5"/>
        <v>0.19040747299178573</v>
      </c>
      <c r="C60" s="200">
        <v>2</v>
      </c>
      <c r="G60" s="201"/>
      <c r="H60" s="201"/>
      <c r="I60" s="202"/>
    </row>
    <row r="61" spans="1:12" x14ac:dyDescent="0.25">
      <c r="A61" s="41">
        <f t="shared" ca="1" si="5"/>
        <v>0.55912869372049545</v>
      </c>
      <c r="C61" s="200">
        <v>3</v>
      </c>
      <c r="G61" s="201"/>
      <c r="H61" s="201"/>
      <c r="I61" s="202"/>
    </row>
    <row r="62" spans="1:12" x14ac:dyDescent="0.25">
      <c r="A62" s="41">
        <f t="shared" ca="1" si="5"/>
        <v>0.54771573408733398</v>
      </c>
      <c r="C62" s="200">
        <v>4</v>
      </c>
      <c r="G62" s="201"/>
      <c r="H62" s="201"/>
      <c r="I62" s="202"/>
    </row>
    <row r="63" spans="1:12" x14ac:dyDescent="0.25">
      <c r="A63" s="41">
        <f t="shared" ca="1" si="5"/>
        <v>0.58832676224639213</v>
      </c>
      <c r="C63" s="200">
        <v>5</v>
      </c>
      <c r="G63" s="201"/>
      <c r="H63" s="201"/>
      <c r="I63" s="202"/>
    </row>
    <row r="64" spans="1:12" x14ac:dyDescent="0.25">
      <c r="A64" s="41">
        <f t="shared" ca="1" si="5"/>
        <v>0.98372263154901451</v>
      </c>
      <c r="C64" s="200">
        <v>6</v>
      </c>
      <c r="G64" s="201"/>
      <c r="H64" s="201"/>
      <c r="I64" s="202"/>
    </row>
    <row r="65" spans="1:9" x14ac:dyDescent="0.25">
      <c r="A65" s="41">
        <f t="shared" ca="1" si="5"/>
        <v>0.66692181241381276</v>
      </c>
      <c r="C65" s="200">
        <v>7</v>
      </c>
      <c r="G65" s="201"/>
      <c r="H65" s="201"/>
      <c r="I65" s="202"/>
    </row>
    <row r="66" spans="1:9" x14ac:dyDescent="0.25">
      <c r="A66" s="41">
        <f t="shared" ca="1" si="5"/>
        <v>0.50940915341446247</v>
      </c>
      <c r="C66" s="200">
        <v>8</v>
      </c>
      <c r="G66" s="201"/>
      <c r="H66" s="201"/>
      <c r="I66" s="202"/>
    </row>
    <row r="67" spans="1:9" x14ac:dyDescent="0.25">
      <c r="A67" s="41">
        <f t="shared" ca="1" si="5"/>
        <v>0.37427191394390946</v>
      </c>
      <c r="C67" s="200">
        <v>9</v>
      </c>
      <c r="G67" s="201"/>
      <c r="H67" s="201"/>
      <c r="I67" s="202"/>
    </row>
    <row r="68" spans="1:9" x14ac:dyDescent="0.25">
      <c r="A68" s="41">
        <f t="shared" ca="1" si="5"/>
        <v>0.21311193550126184</v>
      </c>
      <c r="C68" s="200">
        <v>10</v>
      </c>
      <c r="G68" s="201"/>
      <c r="H68" s="201"/>
      <c r="I68" s="202"/>
    </row>
    <row r="69" spans="1:9" x14ac:dyDescent="0.25">
      <c r="A69" s="41">
        <f t="shared" ca="1" si="5"/>
        <v>0.11560186186197696</v>
      </c>
      <c r="C69" s="200">
        <v>11</v>
      </c>
      <c r="G69" s="201"/>
      <c r="H69" s="201"/>
      <c r="I69" s="202"/>
    </row>
    <row r="70" spans="1:9" x14ac:dyDescent="0.25">
      <c r="A70" s="41">
        <f t="shared" ca="1" si="5"/>
        <v>0.93078975751323056</v>
      </c>
      <c r="C70" s="200">
        <v>12</v>
      </c>
      <c r="G70" s="201"/>
      <c r="H70" s="201"/>
      <c r="I70" s="202"/>
    </row>
    <row r="71" spans="1:9" x14ac:dyDescent="0.25">
      <c r="A71" s="41">
        <f t="shared" ca="1" si="5"/>
        <v>0.91677563841811716</v>
      </c>
      <c r="C71" s="200">
        <v>13</v>
      </c>
      <c r="G71" s="201"/>
      <c r="H71" s="201"/>
      <c r="I71" s="202"/>
    </row>
    <row r="72" spans="1:9" x14ac:dyDescent="0.25">
      <c r="A72" s="41">
        <f t="shared" ca="1" si="5"/>
        <v>0.73856736564367254</v>
      </c>
      <c r="C72" s="200">
        <v>14</v>
      </c>
      <c r="G72" s="201"/>
      <c r="H72" s="201"/>
      <c r="I72" s="202"/>
    </row>
    <row r="73" spans="1:9" x14ac:dyDescent="0.25">
      <c r="A73" s="41">
        <f t="shared" ca="1" si="5"/>
        <v>0.35253301250980817</v>
      </c>
      <c r="C73" s="200">
        <v>15</v>
      </c>
      <c r="G73" s="201"/>
      <c r="H73" s="201"/>
      <c r="I73" s="202"/>
    </row>
    <row r="74" spans="1:9" x14ac:dyDescent="0.25">
      <c r="A74" s="41">
        <f t="shared" ca="1" si="5"/>
        <v>0.89627530314477788</v>
      </c>
      <c r="C74" s="200">
        <v>16</v>
      </c>
      <c r="G74" s="201"/>
      <c r="H74" s="201"/>
      <c r="I74" s="202"/>
    </row>
    <row r="75" spans="1:9" x14ac:dyDescent="0.25">
      <c r="A75" s="41">
        <f t="shared" ca="1" si="5"/>
        <v>0.36490239331117702</v>
      </c>
      <c r="C75" s="200">
        <v>17</v>
      </c>
      <c r="G75" s="201"/>
      <c r="H75" s="201"/>
      <c r="I75" s="202"/>
    </row>
    <row r="76" spans="1:9" x14ac:dyDescent="0.25">
      <c r="A76" s="41">
        <f t="shared" ca="1" si="5"/>
        <v>0.74650349132185689</v>
      </c>
      <c r="C76" s="200">
        <v>18</v>
      </c>
      <c r="G76" s="201"/>
      <c r="H76" s="201"/>
      <c r="I76" s="202"/>
    </row>
    <row r="77" spans="1:9" x14ac:dyDescent="0.25">
      <c r="A77" s="41">
        <f t="shared" ca="1" si="5"/>
        <v>0.44479701220339429</v>
      </c>
      <c r="C77" s="200">
        <v>19</v>
      </c>
    </row>
    <row r="78" spans="1:9" x14ac:dyDescent="0.25">
      <c r="A78" s="41">
        <f t="shared" ca="1" si="5"/>
        <v>0.98085424206258109</v>
      </c>
      <c r="C78" s="200">
        <v>20</v>
      </c>
    </row>
    <row r="79" spans="1:9" x14ac:dyDescent="0.25">
      <c r="A79" s="41">
        <f t="shared" ca="1" si="5"/>
        <v>0.87137995831115522</v>
      </c>
      <c r="C79" s="200">
        <v>21</v>
      </c>
    </row>
    <row r="80" spans="1:9" x14ac:dyDescent="0.25">
      <c r="A80" s="41">
        <f t="shared" ca="1" si="5"/>
        <v>0.79162700107102457</v>
      </c>
      <c r="C80" s="200">
        <v>22</v>
      </c>
    </row>
    <row r="81" spans="1:3" x14ac:dyDescent="0.25">
      <c r="A81" s="41">
        <f t="shared" ca="1" si="5"/>
        <v>0.3161478974259182</v>
      </c>
      <c r="C81" s="200">
        <v>23</v>
      </c>
    </row>
    <row r="82" spans="1:3" x14ac:dyDescent="0.25">
      <c r="A82" s="41">
        <f t="shared" ca="1" si="5"/>
        <v>0.67941850252375424</v>
      </c>
      <c r="C82" s="200">
        <v>24</v>
      </c>
    </row>
    <row r="83" spans="1:3" x14ac:dyDescent="0.25">
      <c r="A83" s="41">
        <f t="shared" ca="1" si="5"/>
        <v>0.32402819839302754</v>
      </c>
      <c r="C83" s="200">
        <v>25</v>
      </c>
    </row>
    <row r="84" spans="1:3" x14ac:dyDescent="0.25">
      <c r="A84" s="41">
        <f t="shared" ca="1" si="5"/>
        <v>0.54554786695173996</v>
      </c>
      <c r="C84" s="200">
        <v>26</v>
      </c>
    </row>
    <row r="85" spans="1:3" x14ac:dyDescent="0.25">
      <c r="A85" s="41">
        <f t="shared" ca="1" si="5"/>
        <v>0.9397327519553712</v>
      </c>
      <c r="C85" s="200">
        <v>27</v>
      </c>
    </row>
    <row r="86" spans="1:3" x14ac:dyDescent="0.25">
      <c r="A86" s="41">
        <f t="shared" ca="1" si="5"/>
        <v>0.40992127110265253</v>
      </c>
      <c r="C86" s="200">
        <v>28</v>
      </c>
    </row>
    <row r="87" spans="1:3" x14ac:dyDescent="0.25">
      <c r="A87" s="41">
        <f t="shared" ca="1" si="5"/>
        <v>0.43248378454943026</v>
      </c>
      <c r="C87" s="200">
        <v>29</v>
      </c>
    </row>
    <row r="88" spans="1:3" x14ac:dyDescent="0.25">
      <c r="A88" s="41">
        <f t="shared" ca="1" si="5"/>
        <v>0.27195584185650856</v>
      </c>
      <c r="C88" s="200">
        <v>30</v>
      </c>
    </row>
    <row r="89" spans="1:3" x14ac:dyDescent="0.25">
      <c r="A89" s="41">
        <f t="shared" ca="1" si="5"/>
        <v>6.0592838958125728E-2</v>
      </c>
      <c r="C89" s="200">
        <v>31</v>
      </c>
    </row>
    <row r="90" spans="1:3" x14ac:dyDescent="0.25">
      <c r="A90" s="41">
        <f t="shared" ca="1" si="5"/>
        <v>0.86408364969565532</v>
      </c>
      <c r="C90" s="200">
        <v>32</v>
      </c>
    </row>
  </sheetData>
  <mergeCells count="8">
    <mergeCell ref="B7:I7"/>
    <mergeCell ref="B15:I15"/>
    <mergeCell ref="B1:I1"/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8" orientation="portrait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2"/>
  <sheetViews>
    <sheetView view="pageBreakPreview" topLeftCell="B1" zoomScale="60" workbookViewId="0">
      <selection activeCell="K40" sqref="K40:L55"/>
    </sheetView>
  </sheetViews>
  <sheetFormatPr defaultColWidth="9.109375" defaultRowHeight="13.2" customHeight="1" outlineLevelCol="1" x14ac:dyDescent="0.25"/>
  <cols>
    <col min="1" max="1" width="12" style="41" hidden="1" customWidth="1" outlineLevel="1"/>
    <col min="2" max="2" width="6.21875" style="41" customWidth="1" collapsed="1"/>
    <col min="3" max="3" width="7" style="600" customWidth="1"/>
    <col min="4" max="4" width="15.88671875" style="41" customWidth="1"/>
    <col min="5" max="5" width="10" style="41" customWidth="1"/>
    <col min="6" max="6" width="25" style="41" customWidth="1"/>
    <col min="7" max="7" width="9.77734375" style="41" customWidth="1"/>
    <col min="8" max="8" width="6.109375" style="41" customWidth="1"/>
    <col min="9" max="9" width="5.6640625" style="149" bestFit="1" customWidth="1"/>
    <col min="10" max="10" width="9.88671875" style="41" bestFit="1" customWidth="1"/>
    <col min="11" max="11" width="9.109375" style="41" outlineLevel="1"/>
    <col min="12" max="12" width="9.109375" style="600" outlineLevel="1"/>
    <col min="13" max="16384" width="9.109375" style="41"/>
  </cols>
  <sheetData>
    <row r="1" spans="1:12" x14ac:dyDescent="0.25">
      <c r="B1" s="805" t="str">
        <f>Расп!A21</f>
        <v>МИНИСТЕРСТВО СПОРТА РОССИЙСКОЙ ФЕДЕРАЦИИ</v>
      </c>
      <c r="C1" s="805"/>
      <c r="D1" s="805"/>
      <c r="E1" s="805"/>
      <c r="F1" s="805"/>
      <c r="G1" s="805"/>
      <c r="H1" s="805"/>
      <c r="I1" s="805"/>
      <c r="K1" s="145"/>
      <c r="L1" s="146"/>
    </row>
    <row r="2" spans="1:12" x14ac:dyDescent="0.25">
      <c r="B2" s="805" t="str">
        <f>Расп!A22</f>
        <v>ВСЕРОССИЙСКАЯ ФЕДЕРАЦИЯ ЛЕГКОЙ АТЛЕТИКИ</v>
      </c>
      <c r="C2" s="805"/>
      <c r="D2" s="805"/>
      <c r="E2" s="805"/>
      <c r="F2" s="805"/>
      <c r="G2" s="805"/>
      <c r="H2" s="805"/>
      <c r="I2" s="805"/>
      <c r="K2" s="145"/>
      <c r="L2" s="146"/>
    </row>
    <row r="3" spans="1:12" x14ac:dyDescent="0.25">
      <c r="B3" s="805" t="str">
        <f>Расп!A25</f>
        <v>Командный чемпионат России</v>
      </c>
      <c r="C3" s="805"/>
      <c r="D3" s="805"/>
      <c r="E3" s="805"/>
      <c r="F3" s="805"/>
      <c r="G3" s="805"/>
      <c r="H3" s="805"/>
      <c r="I3" s="805"/>
      <c r="K3" s="145"/>
      <c r="L3" s="146"/>
    </row>
    <row r="4" spans="1:12" x14ac:dyDescent="0.25">
      <c r="B4" s="802" t="str">
        <f>Расп!A27</f>
        <v>по многоборью</v>
      </c>
      <c r="C4" s="802"/>
      <c r="D4" s="802"/>
      <c r="E4" s="802"/>
      <c r="F4" s="802"/>
      <c r="G4" s="802"/>
      <c r="H4" s="802"/>
      <c r="I4" s="802"/>
      <c r="K4" s="145"/>
      <c r="L4" s="146"/>
    </row>
    <row r="5" spans="1:12" x14ac:dyDescent="0.25">
      <c r="B5" s="805" t="str">
        <f>Расп!A28</f>
        <v>Мужчины</v>
      </c>
      <c r="C5" s="805"/>
      <c r="D5" s="805"/>
      <c r="E5" s="805"/>
      <c r="F5" s="805"/>
      <c r="G5" s="805"/>
      <c r="H5" s="805"/>
      <c r="I5" s="805"/>
      <c r="K5" s="145"/>
      <c r="L5" s="146"/>
    </row>
    <row r="6" spans="1:12" x14ac:dyDescent="0.25">
      <c r="B6" s="801" t="s">
        <v>12</v>
      </c>
      <c r="C6" s="801"/>
      <c r="D6" s="801"/>
      <c r="E6" s="801"/>
      <c r="F6" s="801"/>
      <c r="G6" s="801"/>
      <c r="H6" s="801"/>
      <c r="I6" s="801"/>
      <c r="K6" s="145"/>
      <c r="L6" s="146"/>
    </row>
    <row r="7" spans="1:12" x14ac:dyDescent="0.25">
      <c r="B7" s="801" t="str">
        <f>Расп!A2</f>
        <v>бег 100 м</v>
      </c>
      <c r="C7" s="801"/>
      <c r="D7" s="801"/>
      <c r="E7" s="801"/>
      <c r="F7" s="801"/>
      <c r="G7" s="801"/>
      <c r="H7" s="801"/>
      <c r="I7" s="801"/>
      <c r="K7" s="145"/>
      <c r="L7" s="146"/>
    </row>
    <row r="8" spans="1:12" ht="15.6" hidden="1" x14ac:dyDescent="0.3">
      <c r="C8" s="151"/>
      <c r="D8" s="600"/>
      <c r="E8" s="147"/>
      <c r="G8" s="150"/>
      <c r="H8" s="150"/>
      <c r="K8" s="145"/>
      <c r="L8" s="146"/>
    </row>
    <row r="9" spans="1:12" hidden="1" x14ac:dyDescent="0.25">
      <c r="D9" s="38"/>
      <c r="G9" s="150"/>
      <c r="H9" s="150"/>
      <c r="K9" s="152" t="s">
        <v>22</v>
      </c>
      <c r="L9" s="146"/>
    </row>
    <row r="10" spans="1:12" ht="15.6" hidden="1" x14ac:dyDescent="0.3">
      <c r="C10" s="153"/>
      <c r="D10" s="600"/>
      <c r="E10" s="600"/>
      <c r="F10" s="151"/>
      <c r="K10" s="152" t="s">
        <v>23</v>
      </c>
      <c r="L10" s="146"/>
    </row>
    <row r="11" spans="1:12" hidden="1" x14ac:dyDescent="0.25">
      <c r="D11" s="600"/>
      <c r="E11" s="600"/>
      <c r="K11" s="152" t="s">
        <v>24</v>
      </c>
      <c r="L11" s="146"/>
    </row>
    <row r="12" spans="1:12" ht="15.6" x14ac:dyDescent="0.3">
      <c r="B12" s="203" t="str">
        <f>Расп!A1</f>
        <v>04.09.2019 г.</v>
      </c>
      <c r="C12" s="153"/>
      <c r="D12" s="600"/>
      <c r="E12" s="600"/>
      <c r="G12" s="151"/>
      <c r="H12" s="206" t="str">
        <f>Расп!B1</f>
        <v>Начало:</v>
      </c>
      <c r="I12" s="207">
        <v>0.45833333333333331</v>
      </c>
      <c r="K12" s="145"/>
      <c r="L12" s="146"/>
    </row>
    <row r="13" spans="1:12" ht="15.6" x14ac:dyDescent="0.3">
      <c r="B13" s="41" t="str">
        <f>Расп!A26</f>
        <v>г.Сочи, Адлерский район, стадион "Юность"</v>
      </c>
      <c r="C13" s="147"/>
      <c r="D13" s="600"/>
      <c r="E13" s="600"/>
      <c r="G13" s="151"/>
      <c r="H13" s="206" t="str">
        <f>Расп!C1</f>
        <v>Окончание:</v>
      </c>
      <c r="I13" s="204"/>
      <c r="K13" s="145"/>
      <c r="L13" s="146"/>
    </row>
    <row r="14" spans="1:12" s="599" customFormat="1" ht="20.399999999999999" x14ac:dyDescent="0.25">
      <c r="A14" s="154" t="s">
        <v>67</v>
      </c>
      <c r="B14" s="506" t="s">
        <v>328</v>
      </c>
      <c r="C14" s="506" t="s">
        <v>272</v>
      </c>
      <c r="D14" s="506" t="s">
        <v>329</v>
      </c>
      <c r="E14" s="506" t="s">
        <v>330</v>
      </c>
      <c r="F14" s="559" t="s">
        <v>331</v>
      </c>
      <c r="G14" s="560" t="s">
        <v>19</v>
      </c>
      <c r="H14" s="560" t="s">
        <v>25</v>
      </c>
      <c r="I14" s="507" t="s">
        <v>29</v>
      </c>
      <c r="K14" s="152" t="s">
        <v>28</v>
      </c>
      <c r="L14" s="152" t="s">
        <v>25</v>
      </c>
    </row>
    <row r="15" spans="1:12" s="599" customFormat="1" hidden="1" x14ac:dyDescent="0.25">
      <c r="I15" s="157"/>
      <c r="K15" s="152"/>
      <c r="L15" s="152"/>
    </row>
    <row r="16" spans="1:12" s="599" customFormat="1" hidden="1" x14ac:dyDescent="0.25">
      <c r="B16" s="801" t="s">
        <v>323</v>
      </c>
      <c r="C16" s="801"/>
      <c r="D16" s="801"/>
      <c r="E16" s="801"/>
      <c r="F16" s="801"/>
      <c r="G16" s="801"/>
      <c r="H16" s="801"/>
      <c r="I16" s="801"/>
      <c r="K16" s="152"/>
      <c r="L16" s="152"/>
    </row>
    <row r="17" spans="1:13" s="158" customFormat="1" ht="11.4" hidden="1" x14ac:dyDescent="0.2">
      <c r="D17" s="158" t="s">
        <v>21</v>
      </c>
      <c r="I17" s="159"/>
      <c r="K17" s="160"/>
      <c r="L17" s="160"/>
    </row>
    <row r="18" spans="1:13" s="161" customFormat="1" ht="12" hidden="1" x14ac:dyDescent="0.35">
      <c r="A18" s="161">
        <f ca="1">RAND()</f>
        <v>5.4827229091104934E-2</v>
      </c>
      <c r="B18" s="162">
        <v>1</v>
      </c>
      <c r="C18" s="162"/>
      <c r="D18" s="163" t="e">
        <f>VLOOKUP(C18,Уч!$A$2:$L$34,2,FALSE)</f>
        <v>#N/A</v>
      </c>
      <c r="E18" s="164" t="e">
        <f>VLOOKUP(C18,Уч!$A$2:$L$34,3,FALSE)</f>
        <v>#N/A</v>
      </c>
      <c r="F18" s="545" t="e">
        <f>VLOOKUP(C18,Уч!$A$2:$L$34,5,FALSE)</f>
        <v>#N/A</v>
      </c>
      <c r="G18" s="548">
        <f t="shared" ref="G18:G25" si="0">K18/100</f>
        <v>0</v>
      </c>
      <c r="H18" s="167">
        <f t="shared" ref="H18:H25" si="1">L18/10</f>
        <v>0</v>
      </c>
      <c r="I18" s="168">
        <f t="shared" ref="I18:I25" si="2">IF(K18&gt;1783,0,IF(K18=0,0,ROUNDDOWN(25.4347*(18-K18/100)^1.81,0)))</f>
        <v>0</v>
      </c>
      <c r="J18" s="169"/>
      <c r="K18" s="170"/>
      <c r="L18" s="170"/>
    </row>
    <row r="19" spans="1:13" s="161" customFormat="1" ht="12" hidden="1" x14ac:dyDescent="0.35">
      <c r="A19" s="161">
        <f t="shared" ref="A19:A25" ca="1" si="3">RAND()</f>
        <v>0.88990796017416118</v>
      </c>
      <c r="B19" s="162">
        <v>2</v>
      </c>
      <c r="C19" s="162">
        <v>54</v>
      </c>
      <c r="D19" s="171" t="e">
        <f>VLOOKUP(C19,Уч!$A$2:$L$34,2,FALSE)</f>
        <v>#N/A</v>
      </c>
      <c r="E19" s="172" t="e">
        <f>VLOOKUP(C19,Уч!$A$2:$L$34,3,FALSE)</f>
        <v>#N/A</v>
      </c>
      <c r="F19" s="546" t="e">
        <f>VLOOKUP(C19,Уч!$A$2:$L$34,5,FALSE)</f>
        <v>#N/A</v>
      </c>
      <c r="G19" s="548">
        <f t="shared" si="0"/>
        <v>11.19</v>
      </c>
      <c r="H19" s="167">
        <f t="shared" si="1"/>
        <v>1.7</v>
      </c>
      <c r="I19" s="168">
        <f t="shared" si="2"/>
        <v>819</v>
      </c>
      <c r="K19" s="170">
        <v>1119</v>
      </c>
      <c r="L19" s="170">
        <v>17</v>
      </c>
    </row>
    <row r="20" spans="1:13" s="161" customFormat="1" ht="12" hidden="1" x14ac:dyDescent="0.35">
      <c r="A20" s="161">
        <f t="shared" ca="1" si="3"/>
        <v>0.92433034481463272</v>
      </c>
      <c r="B20" s="162">
        <v>3</v>
      </c>
      <c r="C20" s="162">
        <v>45</v>
      </c>
      <c r="D20" s="171" t="str">
        <f>VLOOKUP(C20,Уч!$A$2:$L$34,2,FALSE)</f>
        <v>Бочаринский Данила</v>
      </c>
      <c r="E20" s="172" t="str">
        <f>VLOOKUP(C20,Уч!$A$2:$L$34,3,FALSE)</f>
        <v>12.01.1999</v>
      </c>
      <c r="F20" s="546" t="str">
        <f>VLOOKUP(C20,Уч!$A$2:$L$34,5,FALSE)</f>
        <v xml:space="preserve">Кемеровская область  </v>
      </c>
      <c r="G20" s="548">
        <f>K20/100</f>
        <v>11.47</v>
      </c>
      <c r="H20" s="167">
        <f t="shared" si="1"/>
        <v>1.7</v>
      </c>
      <c r="I20" s="168">
        <f t="shared" si="2"/>
        <v>759</v>
      </c>
      <c r="K20" s="170">
        <v>1147</v>
      </c>
      <c r="L20" s="170">
        <v>17</v>
      </c>
    </row>
    <row r="21" spans="1:13" s="161" customFormat="1" ht="12" hidden="1" x14ac:dyDescent="0.35">
      <c r="A21" s="161">
        <f t="shared" ca="1" si="3"/>
        <v>0.24049771570779255</v>
      </c>
      <c r="B21" s="162">
        <v>4</v>
      </c>
      <c r="C21" s="162">
        <v>68</v>
      </c>
      <c r="D21" s="171" t="e">
        <f>VLOOKUP(C21,Уч!$A$2:$L$34,2,FALSE)</f>
        <v>#N/A</v>
      </c>
      <c r="E21" s="172" t="e">
        <f>VLOOKUP(C21,Уч!$A$2:$L$34,3,FALSE)</f>
        <v>#N/A</v>
      </c>
      <c r="F21" s="546" t="e">
        <f>VLOOKUP(C21,Уч!$A$2:$L$34,5,FALSE)</f>
        <v>#N/A</v>
      </c>
      <c r="G21" s="548">
        <f t="shared" si="0"/>
        <v>11.5</v>
      </c>
      <c r="H21" s="167">
        <f t="shared" si="1"/>
        <v>1.7</v>
      </c>
      <c r="I21" s="168">
        <f t="shared" si="2"/>
        <v>753</v>
      </c>
      <c r="K21" s="170">
        <v>1150</v>
      </c>
      <c r="L21" s="170">
        <v>17</v>
      </c>
    </row>
    <row r="22" spans="1:13" s="161" customFormat="1" ht="12" hidden="1" x14ac:dyDescent="0.35">
      <c r="A22" s="161">
        <f t="shared" ca="1" si="3"/>
        <v>0.58973654065661918</v>
      </c>
      <c r="B22" s="162">
        <v>5</v>
      </c>
      <c r="C22" s="162">
        <v>39</v>
      </c>
      <c r="D22" s="171" t="str">
        <f>VLOOKUP(C22,Уч!$A$2:$L$34,2,FALSE)</f>
        <v>Левковский Андрей</v>
      </c>
      <c r="E22" s="172" t="str">
        <f>VLOOKUP(C22,Уч!$A$2:$L$34,3,FALSE)</f>
        <v>17.08.1997</v>
      </c>
      <c r="F22" s="546" t="str">
        <f>VLOOKUP(C22,Уч!$A$2:$L$34,5,FALSE)</f>
        <v xml:space="preserve">Кемеровская область  </v>
      </c>
      <c r="G22" s="548">
        <f t="shared" si="0"/>
        <v>10.9</v>
      </c>
      <c r="H22" s="167">
        <f t="shared" si="1"/>
        <v>1.7</v>
      </c>
      <c r="I22" s="168">
        <f t="shared" si="2"/>
        <v>883</v>
      </c>
      <c r="K22" s="170">
        <v>1090</v>
      </c>
      <c r="L22" s="170">
        <v>17</v>
      </c>
    </row>
    <row r="23" spans="1:13" s="161" customFormat="1" ht="12" hidden="1" x14ac:dyDescent="0.35">
      <c r="A23" s="161">
        <f t="shared" ca="1" si="3"/>
        <v>0.92286286853232424</v>
      </c>
      <c r="B23" s="162">
        <v>6</v>
      </c>
      <c r="C23" s="162">
        <v>40</v>
      </c>
      <c r="D23" s="171" t="str">
        <f>VLOOKUP(C23,Уч!$A$2:$L$34,2,FALSE)</f>
        <v>Черкасов Алексей</v>
      </c>
      <c r="E23" s="172" t="str">
        <f>VLOOKUP(C23,Уч!$A$2:$L$34,3,FALSE)</f>
        <v>22.10.1994</v>
      </c>
      <c r="F23" s="546" t="str">
        <f>VLOOKUP(C23,Уч!$A$2:$L$34,5,FALSE)</f>
        <v xml:space="preserve">Кемеровская область Санкт-Петербург </v>
      </c>
      <c r="G23" s="548">
        <f t="shared" si="0"/>
        <v>11.34</v>
      </c>
      <c r="H23" s="167">
        <f t="shared" si="1"/>
        <v>1.7</v>
      </c>
      <c r="I23" s="168">
        <f t="shared" si="2"/>
        <v>786</v>
      </c>
      <c r="K23" s="170">
        <v>1134</v>
      </c>
      <c r="L23" s="170">
        <v>17</v>
      </c>
    </row>
    <row r="24" spans="1:13" s="161" customFormat="1" ht="12" hidden="1" x14ac:dyDescent="0.35">
      <c r="A24" s="161">
        <f t="shared" ca="1" si="3"/>
        <v>0.29632753096003106</v>
      </c>
      <c r="B24" s="162">
        <v>7</v>
      </c>
      <c r="C24" s="162">
        <v>35</v>
      </c>
      <c r="D24" s="171" t="e">
        <f>VLOOKUP(C24,Уч!$A$2:$L$34,2,FALSE)</f>
        <v>#N/A</v>
      </c>
      <c r="E24" s="172" t="e">
        <f>VLOOKUP(C24,Уч!$A$2:$L$34,3,FALSE)</f>
        <v>#N/A</v>
      </c>
      <c r="F24" s="546" t="e">
        <f>VLOOKUP(C24,Уч!$A$2:$L$34,5,FALSE)</f>
        <v>#N/A</v>
      </c>
      <c r="G24" s="548">
        <f t="shared" si="0"/>
        <v>11</v>
      </c>
      <c r="H24" s="167">
        <f t="shared" si="1"/>
        <v>1.7</v>
      </c>
      <c r="I24" s="168">
        <f t="shared" si="2"/>
        <v>861</v>
      </c>
      <c r="K24" s="170">
        <v>1100</v>
      </c>
      <c r="L24" s="170">
        <v>17</v>
      </c>
      <c r="M24" s="161">
        <v>163.19999999999999</v>
      </c>
    </row>
    <row r="25" spans="1:13" s="161" customFormat="1" ht="12" hidden="1" x14ac:dyDescent="0.35">
      <c r="A25" s="161">
        <f t="shared" ca="1" si="3"/>
        <v>0.31484895577758354</v>
      </c>
      <c r="B25" s="162">
        <v>8</v>
      </c>
      <c r="C25" s="177"/>
      <c r="D25" s="163" t="e">
        <f>VLOOKUP(C25,Уч!$A$2:$L$34,2,FALSE)</f>
        <v>#N/A</v>
      </c>
      <c r="E25" s="164" t="e">
        <f>VLOOKUP(C25,Уч!$A$2:$L$34,3,FALSE)</f>
        <v>#N/A</v>
      </c>
      <c r="F25" s="545" t="e">
        <f>VLOOKUP(C25,Уч!$A$2:$L$34,5,FALSE)</f>
        <v>#N/A</v>
      </c>
      <c r="G25" s="548">
        <f t="shared" si="0"/>
        <v>0</v>
      </c>
      <c r="H25" s="167">
        <f t="shared" si="1"/>
        <v>0</v>
      </c>
      <c r="I25" s="168">
        <f t="shared" si="2"/>
        <v>0</v>
      </c>
      <c r="K25" s="170"/>
      <c r="L25" s="170"/>
    </row>
    <row r="26" spans="1:13" s="158" customFormat="1" ht="11.4" hidden="1" x14ac:dyDescent="0.2">
      <c r="C26" s="178"/>
      <c r="F26" s="179"/>
      <c r="G26" s="180"/>
      <c r="H26" s="180"/>
      <c r="I26" s="181"/>
      <c r="K26" s="160"/>
      <c r="L26" s="160"/>
    </row>
    <row r="27" spans="1:13" s="187" customFormat="1" ht="12" hidden="1" x14ac:dyDescent="0.25">
      <c r="A27" s="601"/>
      <c r="B27" s="601"/>
      <c r="C27" s="178"/>
      <c r="D27" s="158" t="s">
        <v>63</v>
      </c>
      <c r="E27" s="183"/>
      <c r="F27" s="184"/>
      <c r="G27" s="180"/>
      <c r="H27" s="185"/>
      <c r="I27" s="186"/>
      <c r="K27" s="188"/>
      <c r="L27" s="189"/>
    </row>
    <row r="28" spans="1:13" s="161" customFormat="1" ht="12" hidden="1" x14ac:dyDescent="0.35">
      <c r="A28" s="161">
        <f ca="1">RAND()</f>
        <v>0.72513054493761941</v>
      </c>
      <c r="B28" s="162">
        <v>1</v>
      </c>
      <c r="C28" s="162"/>
      <c r="D28" s="163" t="e">
        <f>VLOOKUP(C28,Уч!$A$2:$L$34,2,FALSE)</f>
        <v>#N/A</v>
      </c>
      <c r="E28" s="164" t="e">
        <f>VLOOKUP(C28,Уч!$A$2:$L$34,3,FALSE)</f>
        <v>#N/A</v>
      </c>
      <c r="F28" s="545" t="e">
        <f>VLOOKUP(C28,Уч!$A$2:$L$34,5,FALSE)</f>
        <v>#N/A</v>
      </c>
      <c r="G28" s="548">
        <f t="shared" ref="G28:G35" si="4">K28/100</f>
        <v>0</v>
      </c>
      <c r="H28" s="167">
        <f t="shared" ref="H28:H35" si="5">L28/10</f>
        <v>0</v>
      </c>
      <c r="I28" s="168">
        <f t="shared" ref="I28:I35" si="6">IF(K28&gt;1783,0,IF(K28=0,0,ROUNDDOWN(25.4347*(18-K28/100)^1.81,0)))</f>
        <v>0</v>
      </c>
      <c r="K28" s="170"/>
      <c r="L28" s="170"/>
    </row>
    <row r="29" spans="1:13" s="161" customFormat="1" ht="12" hidden="1" x14ac:dyDescent="0.35">
      <c r="A29" s="161">
        <f t="shared" ref="A29:A35" ca="1" si="7">RAND()</f>
        <v>0.78803136431255094</v>
      </c>
      <c r="B29" s="162">
        <v>2</v>
      </c>
      <c r="C29" s="162">
        <v>2</v>
      </c>
      <c r="D29" s="171" t="str">
        <f>VLOOKUP(C29,Уч!$A$2:$L$34,2,FALSE)</f>
        <v>Игнашев Владимир</v>
      </c>
      <c r="E29" s="172" t="str">
        <f>VLOOKUP(C29,Уч!$A$2:$L$34,3,FALSE)</f>
        <v>05.10.1996</v>
      </c>
      <c r="F29" s="546" t="str">
        <f>VLOOKUP(C29,Уч!$A$2:$L$34,5,FALSE)</f>
        <v xml:space="preserve">Ростовская область  </v>
      </c>
      <c r="G29" s="548">
        <f t="shared" si="4"/>
        <v>11.88</v>
      </c>
      <c r="H29" s="167">
        <f t="shared" si="5"/>
        <v>0.8</v>
      </c>
      <c r="I29" s="168">
        <f t="shared" si="6"/>
        <v>675</v>
      </c>
      <c r="K29" s="170">
        <v>1188</v>
      </c>
      <c r="L29" s="170">
        <v>8</v>
      </c>
      <c r="M29" s="161" t="s">
        <v>96</v>
      </c>
    </row>
    <row r="30" spans="1:13" s="161" customFormat="1" ht="12" hidden="1" x14ac:dyDescent="0.35">
      <c r="A30" s="161">
        <f t="shared" ca="1" si="7"/>
        <v>0.72555906477725096</v>
      </c>
      <c r="B30" s="162">
        <v>3</v>
      </c>
      <c r="C30" s="162">
        <v>56</v>
      </c>
      <c r="D30" s="171" t="e">
        <f>VLOOKUP(C30,Уч!$A$2:$L$34,2,FALSE)</f>
        <v>#N/A</v>
      </c>
      <c r="E30" s="172" t="e">
        <f>VLOOKUP(C30,Уч!$A$2:$L$34,3,FALSE)</f>
        <v>#N/A</v>
      </c>
      <c r="F30" s="546" t="e">
        <f>VLOOKUP(C30,Уч!$A$2:$L$34,5,FALSE)</f>
        <v>#N/A</v>
      </c>
      <c r="G30" s="548">
        <f t="shared" si="4"/>
        <v>11.35</v>
      </c>
      <c r="H30" s="167">
        <f t="shared" si="5"/>
        <v>0.8</v>
      </c>
      <c r="I30" s="168">
        <f t="shared" si="6"/>
        <v>784</v>
      </c>
      <c r="K30" s="170">
        <v>1135</v>
      </c>
      <c r="L30" s="170">
        <v>8</v>
      </c>
    </row>
    <row r="31" spans="1:13" s="161" customFormat="1" ht="12" hidden="1" x14ac:dyDescent="0.35">
      <c r="A31" s="161">
        <f t="shared" ca="1" si="7"/>
        <v>0.35834445828365868</v>
      </c>
      <c r="B31" s="162">
        <v>4</v>
      </c>
      <c r="C31" s="162">
        <v>29</v>
      </c>
      <c r="D31" s="171" t="e">
        <f>VLOOKUP(C31,Уч!$A$2:$L$34,2,FALSE)</f>
        <v>#N/A</v>
      </c>
      <c r="E31" s="172" t="e">
        <f>VLOOKUP(C31,Уч!$A$2:$L$34,3,FALSE)</f>
        <v>#N/A</v>
      </c>
      <c r="F31" s="546" t="e">
        <f>VLOOKUP(C31,Уч!$A$2:$L$34,5,FALSE)</f>
        <v>#N/A</v>
      </c>
      <c r="G31" s="548">
        <f t="shared" si="4"/>
        <v>11.5</v>
      </c>
      <c r="H31" s="167">
        <f t="shared" si="5"/>
        <v>0.8</v>
      </c>
      <c r="I31" s="168">
        <f t="shared" si="6"/>
        <v>753</v>
      </c>
      <c r="K31" s="170">
        <v>1150</v>
      </c>
      <c r="L31" s="170">
        <v>8</v>
      </c>
    </row>
    <row r="32" spans="1:13" s="161" customFormat="1" ht="12" hidden="1" x14ac:dyDescent="0.35">
      <c r="A32" s="161">
        <f t="shared" ca="1" si="7"/>
        <v>0.33779258447161076</v>
      </c>
      <c r="B32" s="162">
        <v>5</v>
      </c>
      <c r="C32" s="162">
        <v>8</v>
      </c>
      <c r="D32" s="171" t="e">
        <f>VLOOKUP(C32,Уч!$A$2:$L$34,2,FALSE)</f>
        <v>#N/A</v>
      </c>
      <c r="E32" s="172" t="e">
        <f>VLOOKUP(C32,Уч!$A$2:$L$34,3,FALSE)</f>
        <v>#N/A</v>
      </c>
      <c r="F32" s="546" t="e">
        <f>VLOOKUP(C32,Уч!$A$2:$L$34,5,FALSE)</f>
        <v>#N/A</v>
      </c>
      <c r="G32" s="548">
        <f t="shared" si="4"/>
        <v>11.65</v>
      </c>
      <c r="H32" s="167">
        <f t="shared" si="5"/>
        <v>0.8</v>
      </c>
      <c r="I32" s="168">
        <f t="shared" si="6"/>
        <v>721</v>
      </c>
      <c r="K32" s="170">
        <v>1165</v>
      </c>
      <c r="L32" s="170">
        <v>8</v>
      </c>
    </row>
    <row r="33" spans="1:13" s="161" customFormat="1" ht="12" hidden="1" x14ac:dyDescent="0.35">
      <c r="A33" s="161">
        <f t="shared" ca="1" si="7"/>
        <v>0.63383067493984546</v>
      </c>
      <c r="B33" s="162">
        <v>6</v>
      </c>
      <c r="C33" s="162">
        <v>9</v>
      </c>
      <c r="D33" s="171" t="e">
        <f>VLOOKUP(C33,Уч!$A$2:$L$34,2,FALSE)</f>
        <v>#N/A</v>
      </c>
      <c r="E33" s="172" t="e">
        <f>VLOOKUP(C33,Уч!$A$2:$L$34,3,FALSE)</f>
        <v>#N/A</v>
      </c>
      <c r="F33" s="546" t="e">
        <f>VLOOKUP(C33,Уч!$A$2:$L$34,5,FALSE)</f>
        <v>#N/A</v>
      </c>
      <c r="G33" s="548">
        <f t="shared" si="4"/>
        <v>11.22</v>
      </c>
      <c r="H33" s="167">
        <f t="shared" si="5"/>
        <v>0.8</v>
      </c>
      <c r="I33" s="168">
        <f t="shared" si="6"/>
        <v>812</v>
      </c>
      <c r="K33" s="170">
        <v>1122</v>
      </c>
      <c r="L33" s="170">
        <v>8</v>
      </c>
    </row>
    <row r="34" spans="1:13" s="161" customFormat="1" ht="12" hidden="1" x14ac:dyDescent="0.35">
      <c r="A34" s="161">
        <f t="shared" ca="1" si="7"/>
        <v>0.14530928155826861</v>
      </c>
      <c r="B34" s="162">
        <v>7</v>
      </c>
      <c r="C34" s="162">
        <v>25</v>
      </c>
      <c r="D34" s="171" t="e">
        <f>VLOOKUP(C34,Уч!$A$2:$L$34,2,FALSE)</f>
        <v>#N/A</v>
      </c>
      <c r="E34" s="172" t="e">
        <f>VLOOKUP(C34,Уч!$A$2:$L$34,3,FALSE)</f>
        <v>#N/A</v>
      </c>
      <c r="F34" s="546" t="e">
        <f>VLOOKUP(C34,Уч!$A$2:$L$34,5,FALSE)</f>
        <v>#N/A</v>
      </c>
      <c r="G34" s="548">
        <f t="shared" si="4"/>
        <v>0</v>
      </c>
      <c r="H34" s="167">
        <f t="shared" si="5"/>
        <v>0</v>
      </c>
      <c r="I34" s="168">
        <f t="shared" si="6"/>
        <v>0</v>
      </c>
      <c r="K34" s="170"/>
      <c r="L34" s="170"/>
    </row>
    <row r="35" spans="1:13" s="161" customFormat="1" ht="12" hidden="1" x14ac:dyDescent="0.35">
      <c r="A35" s="161">
        <f t="shared" ca="1" si="7"/>
        <v>0.91218047556468884</v>
      </c>
      <c r="B35" s="162">
        <v>8</v>
      </c>
      <c r="C35" s="162"/>
      <c r="D35" s="163" t="e">
        <f>VLOOKUP(C35,Уч!$A$2:$L$34,2,FALSE)</f>
        <v>#N/A</v>
      </c>
      <c r="E35" s="164" t="e">
        <f>VLOOKUP(C35,Уч!$A$2:$L$34,3,FALSE)</f>
        <v>#N/A</v>
      </c>
      <c r="F35" s="545" t="e">
        <f>VLOOKUP(C35,Уч!$A$2:$L$34,5,FALSE)</f>
        <v>#N/A</v>
      </c>
      <c r="G35" s="548">
        <f t="shared" si="4"/>
        <v>0</v>
      </c>
      <c r="H35" s="167">
        <f t="shared" si="5"/>
        <v>0</v>
      </c>
      <c r="I35" s="168">
        <f t="shared" si="6"/>
        <v>0</v>
      </c>
      <c r="K35" s="170"/>
      <c r="L35" s="170"/>
    </row>
    <row r="36" spans="1:13" s="187" customFormat="1" ht="12" hidden="1" x14ac:dyDescent="0.25">
      <c r="C36" s="601"/>
      <c r="E36" s="601"/>
      <c r="F36" s="190"/>
      <c r="G36" s="191"/>
      <c r="H36" s="191"/>
      <c r="I36" s="186"/>
      <c r="L36" s="601"/>
    </row>
    <row r="37" spans="1:13" s="187" customFormat="1" x14ac:dyDescent="0.25">
      <c r="B37" s="801" t="s">
        <v>324</v>
      </c>
      <c r="C37" s="801"/>
      <c r="D37" s="801"/>
      <c r="E37" s="801"/>
      <c r="F37" s="801"/>
      <c r="G37" s="801"/>
      <c r="H37" s="801"/>
      <c r="I37" s="801"/>
      <c r="L37" s="601"/>
    </row>
    <row r="38" spans="1:13" s="187" customFormat="1" ht="12" x14ac:dyDescent="0.25">
      <c r="A38" s="601"/>
      <c r="B38" s="601"/>
      <c r="C38" s="178"/>
      <c r="D38" s="158" t="s">
        <v>21</v>
      </c>
      <c r="E38" s="183"/>
      <c r="F38" s="184"/>
      <c r="G38" s="180"/>
      <c r="H38" s="185"/>
      <c r="I38" s="186"/>
      <c r="K38" s="188"/>
      <c r="L38" s="189"/>
    </row>
    <row r="39" spans="1:13" s="161" customFormat="1" ht="12" x14ac:dyDescent="0.35">
      <c r="A39" s="161">
        <f ca="1">RAND()</f>
        <v>0.13391863288250572</v>
      </c>
      <c r="B39" s="162">
        <v>1</v>
      </c>
      <c r="C39" s="162"/>
      <c r="D39" s="163" t="e">
        <f>VLOOKUP(C39,Уч!$A$2:$L$34,2,FALSE)</f>
        <v>#N/A</v>
      </c>
      <c r="E39" s="164" t="e">
        <f>VLOOKUP(C39,Уч!$A$2:$L$34,3,FALSE)</f>
        <v>#N/A</v>
      </c>
      <c r="F39" s="545" t="e">
        <f>VLOOKUP(C39,Уч!$A$2:$L$34,5,FALSE)</f>
        <v>#N/A</v>
      </c>
      <c r="G39" s="548">
        <f t="shared" ref="G39:G46" si="8">K39/100</f>
        <v>0</v>
      </c>
      <c r="H39" s="167">
        <f t="shared" ref="H39:H46" si="9">L39/10</f>
        <v>0</v>
      </c>
      <c r="I39" s="168">
        <f t="shared" ref="I39:I46" si="10">IF(K39&gt;1783,0,IF(K39=0,0,ROUNDDOWN(25.4347*(18-K39/100)^1.81,0)))</f>
        <v>0</v>
      </c>
      <c r="K39" s="192"/>
      <c r="L39" s="170"/>
    </row>
    <row r="40" spans="1:13" s="161" customFormat="1" ht="12" x14ac:dyDescent="0.35">
      <c r="A40" s="161">
        <f t="shared" ref="A40:A46" ca="1" si="11">RAND()</f>
        <v>0.96827865005193758</v>
      </c>
      <c r="B40" s="162">
        <v>2</v>
      </c>
      <c r="C40" s="162">
        <v>24</v>
      </c>
      <c r="D40" s="171" t="e">
        <f>VLOOKUP(C40,Уч!$A$2:$L$34,2,FALSE)</f>
        <v>#N/A</v>
      </c>
      <c r="E40" s="172" t="e">
        <f>VLOOKUP(C40,Уч!$A$2:$L$34,3,FALSE)</f>
        <v>#N/A</v>
      </c>
      <c r="F40" s="546" t="e">
        <f>VLOOKUP(C40,Уч!$A$2:$L$34,5,FALSE)</f>
        <v>#N/A</v>
      </c>
      <c r="G40" s="604">
        <f>K40/100</f>
        <v>12.07</v>
      </c>
      <c r="H40" s="175">
        <f t="shared" si="9"/>
        <v>2</v>
      </c>
      <c r="I40" s="176">
        <f t="shared" si="10"/>
        <v>637</v>
      </c>
      <c r="K40" s="170">
        <v>1207</v>
      </c>
      <c r="L40" s="170">
        <v>20</v>
      </c>
    </row>
    <row r="41" spans="1:13" s="161" customFormat="1" ht="12" x14ac:dyDescent="0.35">
      <c r="A41" s="161">
        <f t="shared" ca="1" si="11"/>
        <v>0.34558898143711458</v>
      </c>
      <c r="B41" s="162">
        <v>3</v>
      </c>
      <c r="C41" s="162">
        <v>78</v>
      </c>
      <c r="D41" s="171" t="str">
        <f>VLOOKUP(C41,Уч!$A$2:$L$34,2,FALSE)</f>
        <v>Слаква Максим</v>
      </c>
      <c r="E41" s="172" t="str">
        <f>VLOOKUP(C41,Уч!$A$2:$L$34,3,FALSE)</f>
        <v>10.05.1998</v>
      </c>
      <c r="F41" s="546" t="str">
        <f>VLOOKUP(C41,Уч!$A$2:$L$34,5,FALSE)</f>
        <v xml:space="preserve">Ставропольский край  </v>
      </c>
      <c r="G41" s="604">
        <f t="shared" si="8"/>
        <v>11.44</v>
      </c>
      <c r="H41" s="175">
        <f t="shared" si="9"/>
        <v>2</v>
      </c>
      <c r="I41" s="176">
        <f t="shared" si="10"/>
        <v>765</v>
      </c>
      <c r="K41" s="170">
        <v>1144</v>
      </c>
      <c r="L41" s="170">
        <v>20</v>
      </c>
    </row>
    <row r="42" spans="1:13" s="161" customFormat="1" ht="12" x14ac:dyDescent="0.35">
      <c r="A42" s="161">
        <f t="shared" ca="1" si="11"/>
        <v>0.1127291986379525</v>
      </c>
      <c r="B42" s="162">
        <v>4</v>
      </c>
      <c r="C42" s="162">
        <v>63</v>
      </c>
      <c r="D42" s="171" t="e">
        <f>VLOOKUP(C42,Уч!$A$2:$L$34,2,FALSE)</f>
        <v>#N/A</v>
      </c>
      <c r="E42" s="172" t="e">
        <f>VLOOKUP(C42,Уч!$A$2:$L$34,3,FALSE)</f>
        <v>#N/A</v>
      </c>
      <c r="F42" s="546" t="e">
        <f>VLOOKUP(C42,Уч!$A$2:$L$34,5,FALSE)</f>
        <v>#N/A</v>
      </c>
      <c r="G42" s="604">
        <f t="shared" si="8"/>
        <v>12.14</v>
      </c>
      <c r="H42" s="175">
        <f t="shared" si="9"/>
        <v>2</v>
      </c>
      <c r="I42" s="176">
        <f t="shared" si="10"/>
        <v>624</v>
      </c>
      <c r="K42" s="170">
        <v>1214</v>
      </c>
      <c r="L42" s="170">
        <v>20</v>
      </c>
    </row>
    <row r="43" spans="1:13" s="161" customFormat="1" ht="12" x14ac:dyDescent="0.35">
      <c r="A43" s="161">
        <f t="shared" ca="1" si="11"/>
        <v>4.775288920200893E-2</v>
      </c>
      <c r="B43" s="162">
        <v>5</v>
      </c>
      <c r="C43" s="162">
        <v>26</v>
      </c>
      <c r="D43" s="171" t="e">
        <f>VLOOKUP(C43,Уч!$A$2:$L$34,2,FALSE)</f>
        <v>#N/A</v>
      </c>
      <c r="E43" s="172" t="e">
        <f>VLOOKUP(C43,Уч!$A$2:$L$34,3,FALSE)</f>
        <v>#N/A</v>
      </c>
      <c r="F43" s="546" t="e">
        <f>VLOOKUP(C43,Уч!$A$2:$L$34,5,FALSE)</f>
        <v>#N/A</v>
      </c>
      <c r="G43" s="604">
        <f t="shared" si="8"/>
        <v>11.89</v>
      </c>
      <c r="H43" s="175">
        <f t="shared" si="9"/>
        <v>2</v>
      </c>
      <c r="I43" s="176">
        <f t="shared" si="10"/>
        <v>673</v>
      </c>
      <c r="K43" s="170">
        <v>1189</v>
      </c>
      <c r="L43" s="170">
        <v>20</v>
      </c>
      <c r="M43" s="161" t="s">
        <v>239</v>
      </c>
    </row>
    <row r="44" spans="1:13" s="161" customFormat="1" ht="12" x14ac:dyDescent="0.35">
      <c r="A44" s="161">
        <f t="shared" ca="1" si="11"/>
        <v>0.77198310005701432</v>
      </c>
      <c r="B44" s="162">
        <v>6</v>
      </c>
      <c r="C44" s="162">
        <v>50</v>
      </c>
      <c r="D44" s="171" t="e">
        <f>VLOOKUP(C44,Уч!$A$2:$L$34,2,FALSE)</f>
        <v>#N/A</v>
      </c>
      <c r="E44" s="172" t="e">
        <f>VLOOKUP(C44,Уч!$A$2:$L$34,3,FALSE)</f>
        <v>#N/A</v>
      </c>
      <c r="F44" s="546" t="e">
        <f>VLOOKUP(C44,Уч!$A$2:$L$34,5,FALSE)</f>
        <v>#N/A</v>
      </c>
      <c r="G44" s="604">
        <f t="shared" si="8"/>
        <v>11.13</v>
      </c>
      <c r="H44" s="175">
        <f t="shared" si="9"/>
        <v>2</v>
      </c>
      <c r="I44" s="176">
        <f t="shared" si="10"/>
        <v>832</v>
      </c>
      <c r="K44" s="170">
        <v>1113</v>
      </c>
      <c r="L44" s="170">
        <v>20</v>
      </c>
    </row>
    <row r="45" spans="1:13" s="161" customFormat="1" ht="12" x14ac:dyDescent="0.35">
      <c r="A45" s="161">
        <f t="shared" ca="1" si="11"/>
        <v>4.1688303819742423E-2</v>
      </c>
      <c r="B45" s="162">
        <v>7</v>
      </c>
      <c r="C45" s="162">
        <v>80</v>
      </c>
      <c r="D45" s="171" t="e">
        <f>VLOOKUP(C45,Уч!$A$2:$L$34,2,FALSE)</f>
        <v>#N/A</v>
      </c>
      <c r="E45" s="172" t="e">
        <f>VLOOKUP(C45,Уч!$A$2:$L$34,3,FALSE)</f>
        <v>#N/A</v>
      </c>
      <c r="F45" s="546" t="e">
        <f>VLOOKUP(C45,Уч!$A$2:$L$34,5,FALSE)</f>
        <v>#N/A</v>
      </c>
      <c r="G45" s="604">
        <f t="shared" si="8"/>
        <v>11.65</v>
      </c>
      <c r="H45" s="175">
        <f t="shared" si="9"/>
        <v>2</v>
      </c>
      <c r="I45" s="176">
        <f t="shared" si="10"/>
        <v>721</v>
      </c>
      <c r="K45" s="170">
        <v>1165</v>
      </c>
      <c r="L45" s="170">
        <v>20</v>
      </c>
    </row>
    <row r="46" spans="1:13" s="161" customFormat="1" ht="12" x14ac:dyDescent="0.35">
      <c r="A46" s="161">
        <f t="shared" ca="1" si="11"/>
        <v>0.29900746134482747</v>
      </c>
      <c r="B46" s="162">
        <v>8</v>
      </c>
      <c r="C46" s="162"/>
      <c r="D46" s="163" t="e">
        <f>VLOOKUP(C46,Уч!$A$2:$L$34,2,FALSE)</f>
        <v>#N/A</v>
      </c>
      <c r="E46" s="164" t="e">
        <f>VLOOKUP(C46,Уч!$A$2:$L$34,3,FALSE)</f>
        <v>#N/A</v>
      </c>
      <c r="F46" s="545" t="e">
        <f>VLOOKUP(C46,Уч!$A$2:$L$34,5,FALSE)</f>
        <v>#N/A</v>
      </c>
      <c r="G46" s="548">
        <f t="shared" si="8"/>
        <v>0</v>
      </c>
      <c r="H46" s="167">
        <f t="shared" si="9"/>
        <v>0</v>
      </c>
      <c r="I46" s="168">
        <f t="shared" si="10"/>
        <v>0</v>
      </c>
      <c r="K46" s="170"/>
      <c r="L46" s="170"/>
    </row>
    <row r="47" spans="1:13" s="187" customFormat="1" ht="12" hidden="1" x14ac:dyDescent="0.25">
      <c r="A47" s="601"/>
      <c r="B47" s="601"/>
      <c r="C47" s="601"/>
      <c r="E47" s="193"/>
      <c r="F47" s="193"/>
      <c r="G47" s="194"/>
      <c r="H47" s="195"/>
      <c r="I47" s="181"/>
      <c r="K47" s="188"/>
      <c r="L47" s="196"/>
    </row>
    <row r="48" spans="1:13" s="187" customFormat="1" ht="12" x14ac:dyDescent="0.25">
      <c r="A48" s="601"/>
      <c r="B48" s="601"/>
      <c r="C48" s="178"/>
      <c r="D48" s="158" t="s">
        <v>63</v>
      </c>
      <c r="E48" s="183"/>
      <c r="F48" s="184"/>
      <c r="G48" s="180"/>
      <c r="H48" s="185"/>
      <c r="I48" s="186"/>
      <c r="K48" s="188"/>
      <c r="L48" s="189"/>
    </row>
    <row r="49" spans="1:13" s="161" customFormat="1" ht="12" x14ac:dyDescent="0.25">
      <c r="A49" s="161">
        <f ca="1">RAND()</f>
        <v>0.1724799203982853</v>
      </c>
      <c r="B49" s="162">
        <v>1</v>
      </c>
      <c r="C49" s="197"/>
      <c r="D49" s="163" t="e">
        <f>VLOOKUP(C49,Уч!$A$2:$L$34,2,FALSE)</f>
        <v>#N/A</v>
      </c>
      <c r="E49" s="164" t="e">
        <f>VLOOKUP(C49,Уч!$A$2:$L$34,3,FALSE)</f>
        <v>#N/A</v>
      </c>
      <c r="F49" s="545" t="e">
        <f>VLOOKUP(C49,Уч!$A$2:$L$34,5,FALSE)</f>
        <v>#N/A</v>
      </c>
      <c r="G49" s="548">
        <f t="shared" ref="G49:G56" si="12">K49/100</f>
        <v>0</v>
      </c>
      <c r="H49" s="167">
        <f t="shared" ref="H49:H56" si="13">L49/10</f>
        <v>0</v>
      </c>
      <c r="I49" s="168">
        <f t="shared" ref="I49:I56" si="14">IF(K49&gt;1783,0,IF(K49=0,0,ROUNDDOWN(25.4347*(18-K49/100)^1.81,0)))</f>
        <v>0</v>
      </c>
      <c r="K49" s="198"/>
      <c r="L49" s="198"/>
    </row>
    <row r="50" spans="1:13" s="161" customFormat="1" ht="12" x14ac:dyDescent="0.35">
      <c r="A50" s="161">
        <f t="shared" ref="A50:A56" ca="1" si="15">RAND()</f>
        <v>0.60396664884910811</v>
      </c>
      <c r="B50" s="162">
        <v>2</v>
      </c>
      <c r="C50" s="162">
        <v>62</v>
      </c>
      <c r="D50" s="171" t="e">
        <f>VLOOKUP(C50,Уч!$A$2:$L$34,2,FALSE)</f>
        <v>#N/A</v>
      </c>
      <c r="E50" s="172" t="e">
        <f>VLOOKUP(C50,Уч!$A$2:$L$34,3,FALSE)</f>
        <v>#N/A</v>
      </c>
      <c r="F50" s="546" t="e">
        <f>VLOOKUP(C50,Уч!$A$2:$L$34,5,FALSE)</f>
        <v>#N/A</v>
      </c>
      <c r="G50" s="604">
        <f t="shared" si="12"/>
        <v>12.19</v>
      </c>
      <c r="H50" s="175">
        <f t="shared" si="13"/>
        <v>0.8</v>
      </c>
      <c r="I50" s="176">
        <f t="shared" si="14"/>
        <v>614</v>
      </c>
      <c r="K50" s="170">
        <v>1219</v>
      </c>
      <c r="L50" s="198">
        <v>8</v>
      </c>
      <c r="M50" s="161" t="s">
        <v>238</v>
      </c>
    </row>
    <row r="51" spans="1:13" s="161" customFormat="1" ht="12" x14ac:dyDescent="0.25">
      <c r="A51" s="161">
        <f t="shared" ca="1" si="15"/>
        <v>0.32035656623220632</v>
      </c>
      <c r="B51" s="162">
        <v>3</v>
      </c>
      <c r="C51" s="601">
        <v>44</v>
      </c>
      <c r="D51" s="171" t="str">
        <f>VLOOKUP(C51,Уч!$A$2:$L$34,2,FALSE)</f>
        <v>Хамедов Игорь</v>
      </c>
      <c r="E51" s="172" t="str">
        <f>VLOOKUP(C51,Уч!$A$2:$L$34,3,FALSE)</f>
        <v>30.05.1998</v>
      </c>
      <c r="F51" s="546" t="str">
        <f>VLOOKUP(C51,Уч!$A$2:$L$34,5,FALSE)</f>
        <v xml:space="preserve">Кемеровская область  </v>
      </c>
      <c r="G51" s="604">
        <f t="shared" si="12"/>
        <v>11.44</v>
      </c>
      <c r="H51" s="175">
        <f t="shared" si="13"/>
        <v>0.8</v>
      </c>
      <c r="I51" s="176">
        <f t="shared" si="14"/>
        <v>765</v>
      </c>
      <c r="K51" s="170">
        <v>1144</v>
      </c>
      <c r="L51" s="198">
        <v>8</v>
      </c>
    </row>
    <row r="52" spans="1:13" s="161" customFormat="1" ht="12" x14ac:dyDescent="0.35">
      <c r="A52" s="161">
        <f t="shared" ca="1" si="15"/>
        <v>0.93109113043078895</v>
      </c>
      <c r="B52" s="162">
        <v>4</v>
      </c>
      <c r="C52" s="162">
        <v>69</v>
      </c>
      <c r="D52" s="171" t="e">
        <f>VLOOKUP(C52,Уч!$A$2:$L$34,2,FALSE)</f>
        <v>#N/A</v>
      </c>
      <c r="E52" s="172" t="e">
        <f>VLOOKUP(C52,Уч!$A$2:$L$34,3,FALSE)</f>
        <v>#N/A</v>
      </c>
      <c r="F52" s="546" t="e">
        <f>VLOOKUP(C52,Уч!$A$2:$L$34,5,FALSE)</f>
        <v>#N/A</v>
      </c>
      <c r="G52" s="604">
        <f t="shared" si="12"/>
        <v>11.78</v>
      </c>
      <c r="H52" s="175">
        <f t="shared" si="13"/>
        <v>0.8</v>
      </c>
      <c r="I52" s="176">
        <f t="shared" si="14"/>
        <v>695</v>
      </c>
      <c r="K52" s="170">
        <v>1178</v>
      </c>
      <c r="L52" s="198">
        <v>8</v>
      </c>
    </row>
    <row r="53" spans="1:13" s="161" customFormat="1" ht="12" x14ac:dyDescent="0.35">
      <c r="A53" s="161">
        <f t="shared" ca="1" si="15"/>
        <v>0.35796239052237488</v>
      </c>
      <c r="B53" s="162">
        <v>5</v>
      </c>
      <c r="C53" s="162">
        <v>70</v>
      </c>
      <c r="D53" s="171" t="e">
        <f>VLOOKUP(C53,Уч!$A$2:$L$34,2,FALSE)</f>
        <v>#N/A</v>
      </c>
      <c r="E53" s="172" t="e">
        <f>VLOOKUP(C53,Уч!$A$2:$L$34,3,FALSE)</f>
        <v>#N/A</v>
      </c>
      <c r="F53" s="546" t="e">
        <f>VLOOKUP(C53,Уч!$A$2:$L$34,5,FALSE)</f>
        <v>#N/A</v>
      </c>
      <c r="G53" s="604">
        <f t="shared" si="12"/>
        <v>11.22</v>
      </c>
      <c r="H53" s="175">
        <f t="shared" si="13"/>
        <v>0.8</v>
      </c>
      <c r="I53" s="176">
        <f t="shared" si="14"/>
        <v>812</v>
      </c>
      <c r="K53" s="170">
        <v>1122</v>
      </c>
      <c r="L53" s="198">
        <v>8</v>
      </c>
    </row>
    <row r="54" spans="1:13" s="161" customFormat="1" ht="12" x14ac:dyDescent="0.35">
      <c r="A54" s="161">
        <f t="shared" ca="1" si="15"/>
        <v>0.62653033046699125</v>
      </c>
      <c r="B54" s="162">
        <v>6</v>
      </c>
      <c r="C54" s="162">
        <v>41</v>
      </c>
      <c r="D54" s="171" t="str">
        <f>VLOOKUP(C54,Уч!$A$2:$L$34,2,FALSE)</f>
        <v>Фомичев Андрей</v>
      </c>
      <c r="E54" s="172" t="str">
        <f>VLOOKUP(C54,Уч!$A$2:$L$34,3,FALSE)</f>
        <v>15.12.1996</v>
      </c>
      <c r="F54" s="546" t="str">
        <f>VLOOKUP(C54,Уч!$A$2:$L$34,5,FALSE)</f>
        <v xml:space="preserve">Кемеровская область  </v>
      </c>
      <c r="G54" s="604">
        <f t="shared" si="12"/>
        <v>11.6</v>
      </c>
      <c r="H54" s="175">
        <f t="shared" si="13"/>
        <v>0.8</v>
      </c>
      <c r="I54" s="176">
        <f t="shared" si="14"/>
        <v>732</v>
      </c>
      <c r="K54" s="170">
        <v>1160</v>
      </c>
      <c r="L54" s="198">
        <v>8</v>
      </c>
    </row>
    <row r="55" spans="1:13" s="161" customFormat="1" ht="12" x14ac:dyDescent="0.35">
      <c r="A55" s="161">
        <f t="shared" ca="1" si="15"/>
        <v>0.3701946155402569</v>
      </c>
      <c r="B55" s="162">
        <v>7</v>
      </c>
      <c r="C55" s="162">
        <v>81</v>
      </c>
      <c r="D55" s="171" t="str">
        <f>VLOOKUP(C55,Уч!$A$2:$L$34,2,FALSE)</f>
        <v>Исаев Максим</v>
      </c>
      <c r="E55" s="172" t="str">
        <f>VLOOKUP(C55,Уч!$A$2:$L$34,3,FALSE)</f>
        <v>10.07.1997</v>
      </c>
      <c r="F55" s="546" t="str">
        <f>VLOOKUP(C55,Уч!$A$2:$L$34,5,FALSE)</f>
        <v xml:space="preserve">Челябинская область  </v>
      </c>
      <c r="G55" s="604">
        <f t="shared" si="12"/>
        <v>11.53</v>
      </c>
      <c r="H55" s="175">
        <f t="shared" si="13"/>
        <v>0.8</v>
      </c>
      <c r="I55" s="176">
        <f t="shared" si="14"/>
        <v>746</v>
      </c>
      <c r="K55" s="170">
        <v>1153</v>
      </c>
      <c r="L55" s="198">
        <v>8</v>
      </c>
    </row>
    <row r="56" spans="1:13" s="161" customFormat="1" ht="12" x14ac:dyDescent="0.35">
      <c r="A56" s="161">
        <f t="shared" ca="1" si="15"/>
        <v>0.2019386956335435</v>
      </c>
      <c r="B56" s="162">
        <v>8</v>
      </c>
      <c r="C56" s="177">
        <v>1385</v>
      </c>
      <c r="D56" s="163" t="e">
        <f>VLOOKUP(C56,Уч!$A$2:$L$34,2,FALSE)</f>
        <v>#N/A</v>
      </c>
      <c r="E56" s="164" t="e">
        <f>VLOOKUP(C56,Уч!$A$2:$L$34,3,FALSE)</f>
        <v>#N/A</v>
      </c>
      <c r="F56" s="547" t="e">
        <f>VLOOKUP(C56,Уч!$A$2:$L$34,5,FALSE)</f>
        <v>#N/A</v>
      </c>
      <c r="G56" s="548">
        <f t="shared" si="12"/>
        <v>0</v>
      </c>
      <c r="H56" s="167">
        <f t="shared" si="13"/>
        <v>0</v>
      </c>
      <c r="I56" s="168">
        <f t="shared" si="14"/>
        <v>0</v>
      </c>
      <c r="K56" s="170"/>
      <c r="L56" s="170"/>
    </row>
    <row r="57" spans="1:13" s="161" customFormat="1" ht="12" x14ac:dyDescent="0.35">
      <c r="B57" s="549"/>
      <c r="C57" s="550"/>
      <c r="D57" s="551"/>
      <c r="E57" s="552"/>
      <c r="F57" s="553"/>
      <c r="G57" s="554"/>
      <c r="H57" s="555"/>
      <c r="I57" s="556"/>
      <c r="K57" s="170"/>
      <c r="L57" s="170"/>
    </row>
    <row r="58" spans="1:13" s="161" customFormat="1" x14ac:dyDescent="0.35">
      <c r="B58" s="557" t="s">
        <v>325</v>
      </c>
      <c r="C58" s="550"/>
      <c r="D58" s="551"/>
      <c r="E58" s="552"/>
      <c r="F58" s="553"/>
      <c r="G58" s="554"/>
      <c r="H58" s="555"/>
      <c r="I58" s="556"/>
      <c r="K58" s="170"/>
      <c r="L58" s="170"/>
    </row>
    <row r="59" spans="1:13" s="161" customFormat="1" x14ac:dyDescent="0.35">
      <c r="B59" s="557" t="s">
        <v>326</v>
      </c>
      <c r="C59" s="550"/>
      <c r="D59" s="551"/>
      <c r="E59" s="552"/>
      <c r="F59" s="553"/>
      <c r="G59" s="554"/>
      <c r="H59" s="555"/>
      <c r="I59" s="556"/>
      <c r="K59" s="170"/>
      <c r="L59" s="170"/>
    </row>
    <row r="60" spans="1:13" s="161" customFormat="1" x14ac:dyDescent="0.35">
      <c r="B60" s="557" t="s">
        <v>327</v>
      </c>
      <c r="C60" s="550"/>
      <c r="D60" s="551"/>
      <c r="E60" s="552"/>
      <c r="F60" s="553"/>
      <c r="G60" s="554"/>
      <c r="H60" s="555"/>
      <c r="I60" s="556"/>
      <c r="K60" s="170"/>
      <c r="L60" s="170"/>
    </row>
    <row r="61" spans="1:13" s="187" customFormat="1" ht="12" x14ac:dyDescent="0.25">
      <c r="A61" s="601"/>
      <c r="B61" s="601"/>
      <c r="C61" s="601"/>
      <c r="E61" s="193"/>
      <c r="F61" s="193"/>
      <c r="G61" s="194"/>
      <c r="H61" s="195"/>
      <c r="I61" s="181"/>
      <c r="K61" s="188"/>
      <c r="L61" s="196"/>
    </row>
    <row r="62" spans="1:13" s="187" customFormat="1" ht="12" x14ac:dyDescent="0.25">
      <c r="A62" s="601"/>
      <c r="B62" s="601"/>
      <c r="C62" s="178"/>
      <c r="D62" s="158" t="s">
        <v>126</v>
      </c>
      <c r="E62" s="183"/>
      <c r="F62" s="184"/>
      <c r="G62" s="180"/>
      <c r="H62" s="185"/>
      <c r="I62" s="186"/>
      <c r="K62" s="188"/>
      <c r="L62" s="189"/>
    </row>
    <row r="63" spans="1:13" s="161" customFormat="1" ht="12" x14ac:dyDescent="0.25">
      <c r="A63" s="161">
        <f ca="1">RAND()</f>
        <v>0.70800083825287519</v>
      </c>
      <c r="B63" s="162">
        <v>1</v>
      </c>
      <c r="C63" s="197"/>
      <c r="D63" s="163" t="e">
        <f>VLOOKUP(C63,Уч!$A$2:$L$34,2,FALSE)</f>
        <v>#N/A</v>
      </c>
      <c r="E63" s="164" t="e">
        <f>VLOOKUP(C63,Уч!$A$2:$L$34,3,FALSE)</f>
        <v>#N/A</v>
      </c>
      <c r="F63" s="165" t="e">
        <f>VLOOKUP(C63,Уч!$A$2:$L$34,5,FALSE)</f>
        <v>#N/A</v>
      </c>
      <c r="G63" s="166">
        <f t="shared" ref="G63:G70" si="16">K63/100</f>
        <v>0</v>
      </c>
      <c r="H63" s="167">
        <f t="shared" ref="H63:H70" si="17">L63/10</f>
        <v>0</v>
      </c>
      <c r="I63" s="168">
        <f t="shared" ref="I63:I70" si="18">IF(K63&gt;1783,0,IF(K63=0,0,ROUNDDOWN(25.4347*(18-K63/100)^1.81,0)))</f>
        <v>0</v>
      </c>
      <c r="K63" s="198"/>
      <c r="L63" s="198"/>
    </row>
    <row r="64" spans="1:13" s="161" customFormat="1" ht="12" x14ac:dyDescent="0.35">
      <c r="A64" s="161">
        <f t="shared" ref="A64:A102" ca="1" si="19">RAND()</f>
        <v>0.84946369945347033</v>
      </c>
      <c r="B64" s="162">
        <v>2</v>
      </c>
      <c r="C64" s="162">
        <v>52</v>
      </c>
      <c r="D64" s="171" t="e">
        <f>VLOOKUP(C64,Уч!$A$2:$L$34,2,FALSE)</f>
        <v>#N/A</v>
      </c>
      <c r="E64" s="172" t="e">
        <f>VLOOKUP(C64,Уч!$A$2:$L$34,3,FALSE)</f>
        <v>#N/A</v>
      </c>
      <c r="F64" s="173" t="e">
        <f>VLOOKUP(C64,Уч!$A$2:$L$34,5,FALSE)</f>
        <v>#N/A</v>
      </c>
      <c r="G64" s="174">
        <f t="shared" si="16"/>
        <v>10.93</v>
      </c>
      <c r="H64" s="175">
        <f t="shared" si="17"/>
        <v>1</v>
      </c>
      <c r="I64" s="176">
        <f t="shared" si="18"/>
        <v>876</v>
      </c>
      <c r="K64" s="170">
        <v>1093</v>
      </c>
      <c r="L64" s="198">
        <v>10</v>
      </c>
    </row>
    <row r="65" spans="1:12" s="161" customFormat="1" ht="12" x14ac:dyDescent="0.25">
      <c r="A65" s="161">
        <f t="shared" ca="1" si="19"/>
        <v>0.65780487765762308</v>
      </c>
      <c r="B65" s="162">
        <v>3</v>
      </c>
      <c r="C65" s="601">
        <v>13</v>
      </c>
      <c r="D65" s="171" t="e">
        <f>VLOOKUP(C65,Уч!$A$2:$L$34,2,FALSE)</f>
        <v>#N/A</v>
      </c>
      <c r="E65" s="172" t="e">
        <f>VLOOKUP(C65,Уч!$A$2:$L$34,3,FALSE)</f>
        <v>#N/A</v>
      </c>
      <c r="F65" s="173" t="e">
        <f>VLOOKUP(C65,Уч!$A$2:$L$34,5,FALSE)</f>
        <v>#N/A</v>
      </c>
      <c r="G65" s="174">
        <f t="shared" si="16"/>
        <v>11.41</v>
      </c>
      <c r="H65" s="175">
        <f t="shared" si="17"/>
        <v>1</v>
      </c>
      <c r="I65" s="176">
        <f t="shared" si="18"/>
        <v>771</v>
      </c>
      <c r="K65" s="170">
        <v>1141</v>
      </c>
      <c r="L65" s="198">
        <v>10</v>
      </c>
    </row>
    <row r="66" spans="1:12" s="161" customFormat="1" ht="12" x14ac:dyDescent="0.35">
      <c r="A66" s="161">
        <f t="shared" ca="1" si="19"/>
        <v>0.75778505258937268</v>
      </c>
      <c r="B66" s="162">
        <v>4</v>
      </c>
      <c r="C66" s="162">
        <v>32</v>
      </c>
      <c r="D66" s="171" t="e">
        <f>VLOOKUP(C66,Уч!$A$2:$L$34,2,FALSE)</f>
        <v>#N/A</v>
      </c>
      <c r="E66" s="172" t="e">
        <f>VLOOKUP(C66,Уч!$A$2:$L$34,3,FALSE)</f>
        <v>#N/A</v>
      </c>
      <c r="F66" s="173" t="e">
        <f>VLOOKUP(C66,Уч!$A$2:$L$34,5,FALSE)</f>
        <v>#N/A</v>
      </c>
      <c r="G66" s="174">
        <f t="shared" si="16"/>
        <v>11.15</v>
      </c>
      <c r="H66" s="175">
        <f t="shared" si="17"/>
        <v>1</v>
      </c>
      <c r="I66" s="176">
        <f t="shared" si="18"/>
        <v>827</v>
      </c>
      <c r="K66" s="170">
        <v>1115</v>
      </c>
      <c r="L66" s="198">
        <v>10</v>
      </c>
    </row>
    <row r="67" spans="1:12" s="161" customFormat="1" ht="12" x14ac:dyDescent="0.35">
      <c r="A67" s="161">
        <f t="shared" ca="1" si="19"/>
        <v>0.2376224475537807</v>
      </c>
      <c r="B67" s="162">
        <v>5</v>
      </c>
      <c r="C67" s="162">
        <v>25</v>
      </c>
      <c r="D67" s="171" t="e">
        <f>VLOOKUP(C67,Уч!$A$2:$L$34,2,FALSE)</f>
        <v>#N/A</v>
      </c>
      <c r="E67" s="172" t="e">
        <f>VLOOKUP(C67,Уч!$A$2:$L$34,3,FALSE)</f>
        <v>#N/A</v>
      </c>
      <c r="F67" s="173" t="e">
        <f>VLOOKUP(C67,Уч!$A$2:$L$34,5,FALSE)</f>
        <v>#N/A</v>
      </c>
      <c r="G67" s="174">
        <f t="shared" si="16"/>
        <v>11.3</v>
      </c>
      <c r="H67" s="175">
        <f t="shared" si="17"/>
        <v>1</v>
      </c>
      <c r="I67" s="176">
        <f t="shared" si="18"/>
        <v>795</v>
      </c>
      <c r="K67" s="170">
        <v>1130</v>
      </c>
      <c r="L67" s="198">
        <v>10</v>
      </c>
    </row>
    <row r="68" spans="1:12" s="161" customFormat="1" ht="12" x14ac:dyDescent="0.35">
      <c r="A68" s="161">
        <f t="shared" ca="1" si="19"/>
        <v>0.43111051675821588</v>
      </c>
      <c r="B68" s="162">
        <v>6</v>
      </c>
      <c r="C68" s="162">
        <v>24</v>
      </c>
      <c r="D68" s="171" t="e">
        <f>VLOOKUP(C68,Уч!$A$2:$L$34,2,FALSE)</f>
        <v>#N/A</v>
      </c>
      <c r="E68" s="172" t="e">
        <f>VLOOKUP(C68,Уч!$A$2:$L$34,3,FALSE)</f>
        <v>#N/A</v>
      </c>
      <c r="F68" s="173" t="e">
        <f>VLOOKUP(C68,Уч!$A$2:$L$34,5,FALSE)</f>
        <v>#N/A</v>
      </c>
      <c r="G68" s="174">
        <f t="shared" si="16"/>
        <v>11.15</v>
      </c>
      <c r="H68" s="175">
        <f t="shared" si="17"/>
        <v>1</v>
      </c>
      <c r="I68" s="176">
        <f t="shared" si="18"/>
        <v>827</v>
      </c>
      <c r="K68" s="170">
        <v>1115</v>
      </c>
      <c r="L68" s="198">
        <v>10</v>
      </c>
    </row>
    <row r="69" spans="1:12" s="161" customFormat="1" ht="12" x14ac:dyDescent="0.35">
      <c r="A69" s="161">
        <f t="shared" ca="1" si="19"/>
        <v>0.12607064951739988</v>
      </c>
      <c r="B69" s="162">
        <v>7</v>
      </c>
      <c r="C69" s="162">
        <v>53</v>
      </c>
      <c r="D69" s="171" t="e">
        <f>VLOOKUP(C69,Уч!$A$2:$L$34,2,FALSE)</f>
        <v>#N/A</v>
      </c>
      <c r="E69" s="172" t="e">
        <f>VLOOKUP(C69,Уч!$A$2:$L$34,3,FALSE)</f>
        <v>#N/A</v>
      </c>
      <c r="F69" s="173" t="e">
        <f>VLOOKUP(C69,Уч!$A$2:$L$34,5,FALSE)</f>
        <v>#N/A</v>
      </c>
      <c r="G69" s="174">
        <f t="shared" si="16"/>
        <v>10.91</v>
      </c>
      <c r="H69" s="175">
        <f t="shared" si="17"/>
        <v>1</v>
      </c>
      <c r="I69" s="176">
        <f t="shared" si="18"/>
        <v>881</v>
      </c>
      <c r="K69" s="170">
        <v>1091</v>
      </c>
      <c r="L69" s="198">
        <v>10</v>
      </c>
    </row>
    <row r="70" spans="1:12" s="161" customFormat="1" ht="12" x14ac:dyDescent="0.35">
      <c r="A70" s="161">
        <f t="shared" ca="1" si="19"/>
        <v>0.31043313104652615</v>
      </c>
      <c r="B70" s="162">
        <v>8</v>
      </c>
      <c r="C70" s="177">
        <v>1385</v>
      </c>
      <c r="D70" s="163" t="e">
        <f>VLOOKUP(C70,Уч!$A$2:$L$34,2,FALSE)</f>
        <v>#N/A</v>
      </c>
      <c r="E70" s="164" t="e">
        <f>VLOOKUP(C70,Уч!$A$2:$L$34,3,FALSE)</f>
        <v>#N/A</v>
      </c>
      <c r="F70" s="199" t="e">
        <f>VLOOKUP(C70,Уч!$A$2:$L$34,5,FALSE)</f>
        <v>#N/A</v>
      </c>
      <c r="G70" s="166">
        <f t="shared" si="16"/>
        <v>0</v>
      </c>
      <c r="H70" s="167">
        <f t="shared" si="17"/>
        <v>0</v>
      </c>
      <c r="I70" s="168">
        <f t="shared" si="18"/>
        <v>0</v>
      </c>
      <c r="K70" s="170"/>
      <c r="L70" s="170"/>
    </row>
    <row r="71" spans="1:12" x14ac:dyDescent="0.25">
      <c r="A71" s="41">
        <f t="shared" ca="1" si="19"/>
        <v>0.45682964290611472</v>
      </c>
      <c r="C71" s="200">
        <v>1</v>
      </c>
      <c r="G71" s="201"/>
      <c r="H71" s="201"/>
      <c r="I71" s="202"/>
    </row>
    <row r="72" spans="1:12" x14ac:dyDescent="0.25">
      <c r="A72" s="41">
        <f t="shared" ca="1" si="19"/>
        <v>0.79564821772206151</v>
      </c>
      <c r="C72" s="200">
        <v>2</v>
      </c>
      <c r="G72" s="201"/>
      <c r="H72" s="201"/>
      <c r="I72" s="202"/>
    </row>
    <row r="73" spans="1:12" x14ac:dyDescent="0.25">
      <c r="A73" s="41">
        <f t="shared" ca="1" si="19"/>
        <v>0.22840597645759964</v>
      </c>
      <c r="C73" s="200">
        <v>3</v>
      </c>
      <c r="G73" s="201"/>
      <c r="H73" s="201"/>
      <c r="I73" s="202"/>
    </row>
    <row r="74" spans="1:12" x14ac:dyDescent="0.25">
      <c r="A74" s="41">
        <f t="shared" ca="1" si="19"/>
        <v>0.38602654993441721</v>
      </c>
      <c r="C74" s="200">
        <v>4</v>
      </c>
      <c r="G74" s="201"/>
      <c r="H74" s="201"/>
      <c r="I74" s="202"/>
    </row>
    <row r="75" spans="1:12" x14ac:dyDescent="0.25">
      <c r="A75" s="41">
        <f t="shared" ca="1" si="19"/>
        <v>0.4332204383564533</v>
      </c>
      <c r="C75" s="200">
        <v>5</v>
      </c>
      <c r="G75" s="201"/>
      <c r="H75" s="201"/>
      <c r="I75" s="202"/>
    </row>
    <row r="76" spans="1:12" x14ac:dyDescent="0.25">
      <c r="A76" s="41">
        <f t="shared" ca="1" si="19"/>
        <v>0.39386872453193</v>
      </c>
      <c r="C76" s="200">
        <v>6</v>
      </c>
      <c r="G76" s="201"/>
      <c r="H76" s="201"/>
      <c r="I76" s="202"/>
    </row>
    <row r="77" spans="1:12" x14ac:dyDescent="0.25">
      <c r="A77" s="41">
        <f t="shared" ca="1" si="19"/>
        <v>0.65116586025179779</v>
      </c>
      <c r="C77" s="200">
        <v>7</v>
      </c>
      <c r="G77" s="201"/>
      <c r="H77" s="201"/>
      <c r="I77" s="202"/>
    </row>
    <row r="78" spans="1:12" x14ac:dyDescent="0.25">
      <c r="A78" s="41">
        <f t="shared" ca="1" si="19"/>
        <v>0.35941287372391739</v>
      </c>
      <c r="C78" s="200">
        <v>8</v>
      </c>
      <c r="G78" s="201"/>
      <c r="H78" s="201"/>
      <c r="I78" s="202"/>
    </row>
    <row r="79" spans="1:12" x14ac:dyDescent="0.25">
      <c r="A79" s="41">
        <f t="shared" ca="1" si="19"/>
        <v>0.97014017657667195</v>
      </c>
      <c r="C79" s="200">
        <v>9</v>
      </c>
      <c r="G79" s="201"/>
      <c r="H79" s="201"/>
      <c r="I79" s="202"/>
    </row>
    <row r="80" spans="1:12" x14ac:dyDescent="0.25">
      <c r="A80" s="41">
        <f t="shared" ca="1" si="19"/>
        <v>0.39863474156541934</v>
      </c>
      <c r="C80" s="200">
        <v>10</v>
      </c>
      <c r="G80" s="201"/>
      <c r="H80" s="201"/>
      <c r="I80" s="202"/>
    </row>
    <row r="81" spans="1:9" x14ac:dyDescent="0.25">
      <c r="A81" s="41">
        <f t="shared" ca="1" si="19"/>
        <v>0.22171925309030671</v>
      </c>
      <c r="C81" s="200">
        <v>11</v>
      </c>
      <c r="G81" s="201"/>
      <c r="H81" s="201"/>
      <c r="I81" s="202"/>
    </row>
    <row r="82" spans="1:9" x14ac:dyDescent="0.25">
      <c r="A82" s="41">
        <f t="shared" ca="1" si="19"/>
        <v>0.97572151053140688</v>
      </c>
      <c r="C82" s="200">
        <v>12</v>
      </c>
      <c r="G82" s="201"/>
      <c r="H82" s="201"/>
      <c r="I82" s="202"/>
    </row>
    <row r="83" spans="1:9" x14ac:dyDescent="0.25">
      <c r="A83" s="41">
        <f t="shared" ca="1" si="19"/>
        <v>0.78383986767806146</v>
      </c>
      <c r="C83" s="200">
        <v>13</v>
      </c>
      <c r="G83" s="201"/>
      <c r="H83" s="201"/>
      <c r="I83" s="202"/>
    </row>
    <row r="84" spans="1:9" x14ac:dyDescent="0.25">
      <c r="A84" s="41">
        <f t="shared" ca="1" si="19"/>
        <v>0.20136660156107689</v>
      </c>
      <c r="C84" s="200">
        <v>14</v>
      </c>
      <c r="G84" s="201"/>
      <c r="H84" s="201"/>
      <c r="I84" s="202"/>
    </row>
    <row r="85" spans="1:9" x14ac:dyDescent="0.25">
      <c r="A85" s="41">
        <f t="shared" ca="1" si="19"/>
        <v>0.5001021397276264</v>
      </c>
      <c r="C85" s="200">
        <v>15</v>
      </c>
      <c r="G85" s="201"/>
      <c r="H85" s="201"/>
      <c r="I85" s="202"/>
    </row>
    <row r="86" spans="1:9" x14ac:dyDescent="0.25">
      <c r="A86" s="41">
        <f t="shared" ca="1" si="19"/>
        <v>0.56870238643675408</v>
      </c>
      <c r="C86" s="200">
        <v>16</v>
      </c>
      <c r="G86" s="201"/>
      <c r="H86" s="201"/>
      <c r="I86" s="202"/>
    </row>
    <row r="87" spans="1:9" x14ac:dyDescent="0.25">
      <c r="A87" s="41">
        <f t="shared" ca="1" si="19"/>
        <v>0.52369282852673771</v>
      </c>
      <c r="C87" s="200">
        <v>17</v>
      </c>
      <c r="G87" s="201"/>
      <c r="H87" s="201"/>
      <c r="I87" s="202"/>
    </row>
    <row r="88" spans="1:9" x14ac:dyDescent="0.25">
      <c r="A88" s="41">
        <f t="shared" ca="1" si="19"/>
        <v>5.3324860476043567E-2</v>
      </c>
      <c r="C88" s="200">
        <v>18</v>
      </c>
      <c r="G88" s="201"/>
      <c r="H88" s="201"/>
      <c r="I88" s="202"/>
    </row>
    <row r="89" spans="1:9" x14ac:dyDescent="0.25">
      <c r="A89" s="41">
        <f t="shared" ca="1" si="19"/>
        <v>0.25457911776952691</v>
      </c>
      <c r="C89" s="200">
        <v>19</v>
      </c>
    </row>
    <row r="90" spans="1:9" x14ac:dyDescent="0.25">
      <c r="A90" s="41">
        <f t="shared" ca="1" si="19"/>
        <v>0.17674231066484447</v>
      </c>
      <c r="C90" s="200">
        <v>20</v>
      </c>
    </row>
    <row r="91" spans="1:9" x14ac:dyDescent="0.25">
      <c r="A91" s="41">
        <f t="shared" ca="1" si="19"/>
        <v>0.68697203103682924</v>
      </c>
      <c r="C91" s="200">
        <v>21</v>
      </c>
    </row>
    <row r="92" spans="1:9" x14ac:dyDescent="0.25">
      <c r="A92" s="41">
        <f t="shared" ca="1" si="19"/>
        <v>0.35271392833611781</v>
      </c>
      <c r="C92" s="200">
        <v>22</v>
      </c>
    </row>
    <row r="93" spans="1:9" x14ac:dyDescent="0.25">
      <c r="A93" s="41">
        <f t="shared" ca="1" si="19"/>
        <v>0.22311322048912086</v>
      </c>
      <c r="C93" s="200">
        <v>23</v>
      </c>
    </row>
    <row r="94" spans="1:9" x14ac:dyDescent="0.25">
      <c r="A94" s="41">
        <f t="shared" ca="1" si="19"/>
        <v>6.6283514264886545E-2</v>
      </c>
      <c r="C94" s="200">
        <v>24</v>
      </c>
    </row>
    <row r="95" spans="1:9" x14ac:dyDescent="0.25">
      <c r="A95" s="41">
        <f t="shared" ca="1" si="19"/>
        <v>8.3186618583274807E-2</v>
      </c>
      <c r="C95" s="200">
        <v>25</v>
      </c>
    </row>
    <row r="96" spans="1:9" x14ac:dyDescent="0.25">
      <c r="A96" s="41">
        <f t="shared" ca="1" si="19"/>
        <v>0.47147188744241975</v>
      </c>
      <c r="C96" s="200">
        <v>26</v>
      </c>
    </row>
    <row r="97" spans="1:3" x14ac:dyDescent="0.25">
      <c r="A97" s="41">
        <f t="shared" ca="1" si="19"/>
        <v>0.58446085935652514</v>
      </c>
      <c r="C97" s="200">
        <v>27</v>
      </c>
    </row>
    <row r="98" spans="1:3" x14ac:dyDescent="0.25">
      <c r="A98" s="41">
        <f t="shared" ca="1" si="19"/>
        <v>0.91256906557230577</v>
      </c>
      <c r="C98" s="200">
        <v>28</v>
      </c>
    </row>
    <row r="99" spans="1:3" x14ac:dyDescent="0.25">
      <c r="A99" s="41">
        <f t="shared" ca="1" si="19"/>
        <v>0.37342054132176317</v>
      </c>
      <c r="C99" s="200">
        <v>29</v>
      </c>
    </row>
    <row r="100" spans="1:3" x14ac:dyDescent="0.25">
      <c r="A100" s="41">
        <f t="shared" ca="1" si="19"/>
        <v>4.4627953550189003E-2</v>
      </c>
      <c r="C100" s="200">
        <v>30</v>
      </c>
    </row>
    <row r="101" spans="1:3" x14ac:dyDescent="0.25">
      <c r="A101" s="41">
        <f t="shared" ca="1" si="19"/>
        <v>1.2064426508541448E-2</v>
      </c>
      <c r="C101" s="200">
        <v>31</v>
      </c>
    </row>
    <row r="102" spans="1:3" x14ac:dyDescent="0.25">
      <c r="A102" s="41">
        <f t="shared" ca="1" si="19"/>
        <v>0.42724257588024062</v>
      </c>
      <c r="C102" s="200">
        <v>32</v>
      </c>
    </row>
  </sheetData>
  <mergeCells count="9">
    <mergeCell ref="B7:I7"/>
    <mergeCell ref="B16:I16"/>
    <mergeCell ref="B37:I37"/>
    <mergeCell ref="B1:I1"/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orientation="portrait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D661"/>
  </sheetPr>
  <dimension ref="A1:Y85"/>
  <sheetViews>
    <sheetView view="pageBreakPreview" zoomScaleSheetLayoutView="100" workbookViewId="0">
      <selection activeCell="F27" sqref="F27"/>
    </sheetView>
  </sheetViews>
  <sheetFormatPr defaultColWidth="9.109375" defaultRowHeight="13.2" outlineLevelRow="1" outlineLevelCol="1" x14ac:dyDescent="0.25"/>
  <cols>
    <col min="1" max="1" width="11.44140625" style="41" customWidth="1" outlineLevel="1"/>
    <col min="2" max="2" width="6" style="41" customWidth="1"/>
    <col min="3" max="3" width="5.44140625" style="148" customWidth="1"/>
    <col min="4" max="4" width="22.33203125" style="41" customWidth="1"/>
    <col min="5" max="5" width="11.44140625" style="148" customWidth="1" outlineLevel="1"/>
    <col min="6" max="6" width="20" style="41" customWidth="1" outlineLevel="1"/>
    <col min="7" max="10" width="7.6640625" style="148" customWidth="1" outlineLevel="1"/>
    <col min="11" max="12" width="7.6640625" style="41" customWidth="1" outlineLevel="1"/>
    <col min="13" max="13" width="9.6640625" style="41" customWidth="1"/>
    <col min="14" max="14" width="7.6640625" style="41" customWidth="1"/>
    <col min="15" max="15" width="7.6640625" style="149" customWidth="1"/>
    <col min="16" max="16" width="5.6640625" style="149" customWidth="1"/>
    <col min="17" max="17" width="4.6640625" style="205" customWidth="1" outlineLevel="1"/>
    <col min="18" max="18" width="4.6640625" style="238" customWidth="1" outlineLevel="1"/>
    <col min="19" max="19" width="4.6640625" style="205" customWidth="1" outlineLevel="1"/>
    <col min="20" max="20" width="4.33203125" style="238" customWidth="1" outlineLevel="1"/>
    <col min="21" max="21" width="4.6640625" style="148" customWidth="1" outlineLevel="1"/>
    <col min="22" max="22" width="4.6640625" style="238" customWidth="1" outlineLevel="1"/>
    <col min="23" max="23" width="8" style="41" bestFit="1" customWidth="1" outlineLevel="1"/>
    <col min="24" max="24" width="9.109375" style="148" outlineLevel="1"/>
    <col min="25" max="16384" width="9.109375" style="41"/>
  </cols>
  <sheetData>
    <row r="1" spans="1:24" ht="13.2" customHeight="1" x14ac:dyDescent="0.25">
      <c r="B1" s="805" t="s">
        <v>119</v>
      </c>
      <c r="C1" s="805"/>
      <c r="D1" s="805"/>
      <c r="E1" s="805"/>
      <c r="F1" s="805"/>
      <c r="G1" s="805"/>
      <c r="H1" s="805"/>
      <c r="I1" s="805"/>
      <c r="J1" s="805"/>
      <c r="K1" s="805"/>
      <c r="L1" s="805"/>
      <c r="M1" s="805"/>
      <c r="N1" s="805"/>
      <c r="Q1" s="209"/>
      <c r="R1" s="210"/>
      <c r="S1" s="209"/>
      <c r="T1" s="210"/>
      <c r="U1" s="146"/>
      <c r="V1" s="210"/>
      <c r="W1" s="145"/>
      <c r="X1" s="146"/>
    </row>
    <row r="2" spans="1:24" ht="13.2" customHeight="1" x14ac:dyDescent="0.25">
      <c r="B2" s="805" t="s">
        <v>10</v>
      </c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Q2" s="209"/>
      <c r="R2" s="210"/>
      <c r="S2" s="209"/>
      <c r="T2" s="210"/>
      <c r="U2" s="146"/>
      <c r="V2" s="210"/>
      <c r="W2" s="145"/>
      <c r="X2" s="146"/>
    </row>
    <row r="3" spans="1:24" ht="13.2" customHeight="1" x14ac:dyDescent="0.25">
      <c r="B3" s="805" t="s">
        <v>351</v>
      </c>
      <c r="C3" s="805"/>
      <c r="D3" s="805"/>
      <c r="E3" s="805"/>
      <c r="F3" s="805"/>
      <c r="G3" s="805"/>
      <c r="H3" s="805"/>
      <c r="I3" s="805"/>
      <c r="J3" s="805"/>
      <c r="K3" s="805"/>
      <c r="L3" s="805"/>
      <c r="M3" s="805"/>
      <c r="N3" s="805"/>
      <c r="Q3" s="209"/>
      <c r="R3" s="210"/>
      <c r="S3" s="209"/>
      <c r="T3" s="210"/>
      <c r="U3" s="146"/>
      <c r="V3" s="210"/>
      <c r="W3" s="145"/>
      <c r="X3" s="146"/>
    </row>
    <row r="4" spans="1:24" ht="13.2" customHeight="1" x14ac:dyDescent="0.25">
      <c r="B4" s="802" t="s">
        <v>322</v>
      </c>
      <c r="C4" s="802"/>
      <c r="D4" s="802"/>
      <c r="E4" s="802"/>
      <c r="F4" s="802"/>
      <c r="G4" s="802"/>
      <c r="H4" s="802"/>
      <c r="I4" s="802"/>
      <c r="J4" s="802"/>
      <c r="K4" s="802"/>
      <c r="L4" s="802"/>
      <c r="M4" s="802"/>
      <c r="N4" s="802"/>
      <c r="Q4" s="209"/>
      <c r="R4" s="210"/>
      <c r="S4" s="209"/>
      <c r="T4" s="210"/>
      <c r="U4" s="146"/>
      <c r="V4" s="210"/>
      <c r="W4" s="145"/>
      <c r="X4" s="146"/>
    </row>
    <row r="5" spans="1:24" ht="13.2" customHeight="1" x14ac:dyDescent="0.25">
      <c r="B5" s="802" t="s">
        <v>101</v>
      </c>
      <c r="C5" s="802"/>
      <c r="D5" s="802"/>
      <c r="E5" s="802"/>
      <c r="F5" s="802"/>
      <c r="G5" s="802"/>
      <c r="H5" s="802"/>
      <c r="I5" s="802"/>
      <c r="J5" s="802"/>
      <c r="K5" s="802"/>
      <c r="L5" s="802"/>
      <c r="M5" s="802"/>
      <c r="N5" s="802"/>
      <c r="Q5" s="209"/>
      <c r="R5" s="210"/>
      <c r="S5" s="209"/>
      <c r="T5" s="210"/>
      <c r="U5" s="146"/>
      <c r="V5" s="210"/>
      <c r="W5" s="145"/>
      <c r="X5" s="146"/>
    </row>
    <row r="6" spans="1:24" ht="13.2" customHeight="1" x14ac:dyDescent="0.25">
      <c r="B6" s="801" t="s">
        <v>12</v>
      </c>
      <c r="C6" s="801"/>
      <c r="D6" s="801"/>
      <c r="E6" s="801"/>
      <c r="F6" s="801"/>
      <c r="G6" s="801"/>
      <c r="H6" s="801"/>
      <c r="I6" s="801"/>
      <c r="J6" s="801"/>
      <c r="K6" s="801"/>
      <c r="L6" s="801"/>
      <c r="M6" s="801"/>
      <c r="N6" s="801"/>
      <c r="Q6" s="209"/>
      <c r="R6" s="210"/>
      <c r="S6" s="209"/>
      <c r="T6" s="210"/>
      <c r="U6" s="146"/>
      <c r="V6" s="210"/>
      <c r="W6" s="145"/>
      <c r="X6" s="146"/>
    </row>
    <row r="7" spans="1:24" ht="13.2" customHeight="1" x14ac:dyDescent="0.25">
      <c r="B7" s="801" t="s">
        <v>248</v>
      </c>
      <c r="C7" s="801"/>
      <c r="D7" s="801"/>
      <c r="E7" s="801"/>
      <c r="F7" s="801"/>
      <c r="G7" s="801"/>
      <c r="H7" s="801"/>
      <c r="I7" s="801"/>
      <c r="J7" s="801"/>
      <c r="K7" s="801"/>
      <c r="L7" s="801"/>
      <c r="M7" s="801"/>
      <c r="N7" s="801"/>
      <c r="Q7" s="209"/>
      <c r="R7" s="210"/>
      <c r="S7" s="209"/>
      <c r="T7" s="210"/>
      <c r="U7" s="146"/>
      <c r="V7" s="210"/>
      <c r="W7" s="145"/>
      <c r="X7" s="146"/>
    </row>
    <row r="8" spans="1:24" ht="13.2" hidden="1" customHeight="1" x14ac:dyDescent="0.25">
      <c r="C8" s="147"/>
      <c r="D8" s="148"/>
      <c r="E8" s="147"/>
      <c r="G8" s="150"/>
      <c r="I8" s="150"/>
      <c r="Q8" s="209"/>
      <c r="R8" s="210"/>
      <c r="S8" s="209"/>
      <c r="T8" s="210"/>
      <c r="U8" s="146"/>
      <c r="V8" s="210"/>
      <c r="W8" s="145"/>
      <c r="X8" s="146"/>
    </row>
    <row r="9" spans="1:24" ht="13.2" hidden="1" customHeight="1" x14ac:dyDescent="0.25">
      <c r="D9" s="38"/>
      <c r="G9" s="150"/>
      <c r="I9" s="212"/>
      <c r="J9" s="213"/>
      <c r="K9" s="147"/>
      <c r="L9" s="147"/>
      <c r="Q9" s="209"/>
      <c r="R9" s="210"/>
      <c r="S9" s="209"/>
      <c r="T9" s="210"/>
      <c r="U9" s="146"/>
      <c r="V9" s="210"/>
      <c r="W9" s="152" t="s">
        <v>22</v>
      </c>
      <c r="X9" s="146"/>
    </row>
    <row r="10" spans="1:24" ht="13.2" hidden="1" customHeight="1" outlineLevel="1" x14ac:dyDescent="0.3">
      <c r="C10" s="153"/>
      <c r="D10" s="148"/>
      <c r="F10" s="151"/>
      <c r="M10" s="214"/>
      <c r="Q10" s="209"/>
      <c r="R10" s="210"/>
      <c r="S10" s="209"/>
      <c r="T10" s="210"/>
      <c r="U10" s="146"/>
      <c r="V10" s="210"/>
      <c r="W10" s="152" t="s">
        <v>23</v>
      </c>
      <c r="X10" s="146"/>
    </row>
    <row r="11" spans="1:24" ht="13.2" hidden="1" customHeight="1" x14ac:dyDescent="0.3">
      <c r="C11" s="153"/>
      <c r="D11" s="148"/>
      <c r="G11" s="151"/>
      <c r="H11" s="41"/>
      <c r="M11" s="214"/>
      <c r="Q11" s="209"/>
      <c r="R11" s="210"/>
      <c r="S11" s="209"/>
      <c r="T11" s="210"/>
      <c r="U11" s="146"/>
      <c r="V11" s="210"/>
      <c r="W11" s="152" t="s">
        <v>24</v>
      </c>
      <c r="X11" s="146"/>
    </row>
    <row r="12" spans="1:24" ht="13.2" customHeight="1" outlineLevel="1" x14ac:dyDescent="0.3">
      <c r="B12" s="203" t="s">
        <v>463</v>
      </c>
      <c r="C12" s="153"/>
      <c r="D12" s="148"/>
      <c r="F12" s="750" t="s">
        <v>335</v>
      </c>
      <c r="G12" s="151"/>
      <c r="H12" s="41"/>
      <c r="M12" s="206" t="s">
        <v>253</v>
      </c>
      <c r="N12" s="207">
        <v>0.42708333333333331</v>
      </c>
      <c r="Q12" s="209"/>
      <c r="R12" s="210"/>
      <c r="S12" s="209"/>
      <c r="T12" s="210"/>
      <c r="U12" s="146"/>
      <c r="V12" s="210"/>
      <c r="W12" s="145"/>
      <c r="X12" s="146"/>
    </row>
    <row r="13" spans="1:24" ht="13.2" customHeight="1" outlineLevel="1" x14ac:dyDescent="0.3">
      <c r="B13" s="41" t="s">
        <v>261</v>
      </c>
      <c r="C13" s="153"/>
      <c r="D13" s="148"/>
      <c r="G13" s="151"/>
      <c r="H13" s="41"/>
      <c r="M13" s="206" t="s">
        <v>254</v>
      </c>
      <c r="Q13" s="209"/>
      <c r="R13" s="210"/>
      <c r="S13" s="209"/>
      <c r="T13" s="210"/>
      <c r="U13" s="146"/>
      <c r="V13" s="210"/>
      <c r="W13" s="145"/>
      <c r="X13" s="146"/>
    </row>
    <row r="14" spans="1:24" s="156" customFormat="1" ht="13.2" customHeight="1" x14ac:dyDescent="0.25">
      <c r="A14" s="154"/>
      <c r="B14" s="154" t="s">
        <v>260</v>
      </c>
      <c r="C14" s="154" t="s">
        <v>20</v>
      </c>
      <c r="D14" s="154" t="s">
        <v>16</v>
      </c>
      <c r="E14" s="154" t="s">
        <v>0</v>
      </c>
      <c r="F14" s="215" t="s">
        <v>8</v>
      </c>
      <c r="G14" s="216">
        <v>1</v>
      </c>
      <c r="H14" s="215" t="s">
        <v>25</v>
      </c>
      <c r="I14" s="216">
        <v>2</v>
      </c>
      <c r="J14" s="215" t="s">
        <v>25</v>
      </c>
      <c r="K14" s="216">
        <v>3</v>
      </c>
      <c r="L14" s="215" t="s">
        <v>25</v>
      </c>
      <c r="M14" s="216" t="s">
        <v>19</v>
      </c>
      <c r="N14" s="154" t="s">
        <v>25</v>
      </c>
      <c r="O14" s="155"/>
      <c r="P14" s="157"/>
      <c r="Q14" s="217"/>
      <c r="R14" s="218"/>
      <c r="S14" s="217"/>
      <c r="T14" s="218"/>
      <c r="U14" s="152"/>
      <c r="V14" s="218"/>
      <c r="W14" s="152"/>
      <c r="X14" s="152"/>
    </row>
    <row r="15" spans="1:24" s="156" customFormat="1" ht="13.2" hidden="1" customHeight="1" x14ac:dyDescent="0.25">
      <c r="F15" s="563" t="s">
        <v>334</v>
      </c>
      <c r="O15" s="157"/>
      <c r="P15" s="157"/>
      <c r="Q15" s="217"/>
      <c r="R15" s="218"/>
      <c r="S15" s="217"/>
      <c r="T15" s="218"/>
      <c r="U15" s="152"/>
      <c r="V15" s="218"/>
      <c r="W15" s="152"/>
      <c r="X15" s="152"/>
    </row>
    <row r="16" spans="1:24" ht="15" customHeight="1" x14ac:dyDescent="0.3">
      <c r="A16" s="219"/>
      <c r="B16" s="220">
        <v>1</v>
      </c>
      <c r="C16" s="162">
        <v>21</v>
      </c>
      <c r="D16" s="221" t="s">
        <v>314</v>
      </c>
      <c r="E16" s="222">
        <v>36317</v>
      </c>
      <c r="F16" s="331" t="s">
        <v>356</v>
      </c>
      <c r="G16" s="566">
        <v>6.98</v>
      </c>
      <c r="H16" s="567">
        <v>-0.6</v>
      </c>
      <c r="I16" s="566" t="s">
        <v>464</v>
      </c>
      <c r="J16" s="567">
        <v>0</v>
      </c>
      <c r="K16" s="566" t="s">
        <v>464</v>
      </c>
      <c r="L16" s="567">
        <v>0</v>
      </c>
      <c r="M16" s="324">
        <v>6.98</v>
      </c>
      <c r="N16" s="359">
        <v>-0.6</v>
      </c>
      <c r="O16" s="228"/>
      <c r="P16" s="157"/>
      <c r="Q16" s="209"/>
      <c r="R16" s="146"/>
      <c r="S16" s="209"/>
      <c r="T16" s="146"/>
      <c r="U16" s="209"/>
      <c r="V16" s="146"/>
      <c r="W16" s="229"/>
      <c r="X16" s="152"/>
    </row>
    <row r="17" spans="1:25" ht="15" customHeight="1" x14ac:dyDescent="0.3">
      <c r="A17" s="219"/>
      <c r="B17" s="220">
        <v>2</v>
      </c>
      <c r="C17" s="162">
        <v>77</v>
      </c>
      <c r="D17" s="221" t="s">
        <v>308</v>
      </c>
      <c r="E17" s="222" t="s">
        <v>309</v>
      </c>
      <c r="F17" s="331" t="s">
        <v>391</v>
      </c>
      <c r="G17" s="566">
        <v>7.05</v>
      </c>
      <c r="H17" s="567">
        <v>0</v>
      </c>
      <c r="I17" s="566" t="s">
        <v>464</v>
      </c>
      <c r="J17" s="567">
        <v>0</v>
      </c>
      <c r="K17" s="566" t="s">
        <v>464</v>
      </c>
      <c r="L17" s="567">
        <v>0</v>
      </c>
      <c r="M17" s="324">
        <v>7.05</v>
      </c>
      <c r="N17" s="359">
        <v>0</v>
      </c>
      <c r="O17" s="228"/>
      <c r="Q17" s="209"/>
      <c r="R17" s="146"/>
      <c r="S17" s="209"/>
      <c r="T17" s="146"/>
      <c r="U17" s="209"/>
      <c r="V17" s="146"/>
      <c r="W17" s="229"/>
      <c r="X17" s="152"/>
      <c r="Y17" s="41" t="s">
        <v>96</v>
      </c>
    </row>
    <row r="18" spans="1:25" ht="15" customHeight="1" x14ac:dyDescent="0.3">
      <c r="A18" s="219"/>
      <c r="B18" s="220">
        <v>3</v>
      </c>
      <c r="C18" s="197">
        <v>71</v>
      </c>
      <c r="D18" s="221" t="s">
        <v>380</v>
      </c>
      <c r="E18" s="222" t="s">
        <v>381</v>
      </c>
      <c r="F18" s="331" t="s">
        <v>383</v>
      </c>
      <c r="G18" s="566">
        <v>6.14</v>
      </c>
      <c r="H18" s="567">
        <v>0</v>
      </c>
      <c r="I18" s="566" t="s">
        <v>464</v>
      </c>
      <c r="J18" s="567">
        <v>0</v>
      </c>
      <c r="K18" s="566" t="s">
        <v>464</v>
      </c>
      <c r="L18" s="567">
        <v>0</v>
      </c>
      <c r="M18" s="324">
        <v>6.14</v>
      </c>
      <c r="N18" s="359">
        <v>0</v>
      </c>
      <c r="O18" s="228"/>
      <c r="Q18" s="209"/>
      <c r="R18" s="146"/>
      <c r="S18" s="209"/>
      <c r="T18" s="146"/>
      <c r="U18" s="209"/>
      <c r="V18" s="146"/>
      <c r="W18" s="229"/>
      <c r="X18" s="152"/>
    </row>
    <row r="19" spans="1:25" ht="15" customHeight="1" x14ac:dyDescent="0.3">
      <c r="A19" s="219"/>
      <c r="B19" s="220">
        <v>4</v>
      </c>
      <c r="C19" s="162">
        <v>45</v>
      </c>
      <c r="D19" s="221" t="s">
        <v>310</v>
      </c>
      <c r="E19" s="222" t="s">
        <v>311</v>
      </c>
      <c r="F19" s="331" t="s">
        <v>364</v>
      </c>
      <c r="G19" s="566">
        <v>6.57</v>
      </c>
      <c r="H19" s="567">
        <v>0</v>
      </c>
      <c r="I19" s="566" t="s">
        <v>464</v>
      </c>
      <c r="J19" s="567">
        <v>0</v>
      </c>
      <c r="K19" s="566" t="s">
        <v>464</v>
      </c>
      <c r="L19" s="567">
        <v>0</v>
      </c>
      <c r="M19" s="324">
        <v>6.57</v>
      </c>
      <c r="N19" s="359">
        <v>-1.2</v>
      </c>
      <c r="O19" s="228"/>
      <c r="P19" s="157"/>
      <c r="Q19" s="209"/>
      <c r="R19" s="146"/>
      <c r="S19" s="209"/>
      <c r="T19" s="146"/>
      <c r="U19" s="209"/>
      <c r="V19" s="146"/>
      <c r="W19" s="229"/>
      <c r="X19" s="152"/>
    </row>
    <row r="20" spans="1:25" ht="15" customHeight="1" x14ac:dyDescent="0.3">
      <c r="A20" s="219"/>
      <c r="B20" s="220">
        <v>5</v>
      </c>
      <c r="C20" s="162">
        <v>88</v>
      </c>
      <c r="D20" s="221" t="s">
        <v>411</v>
      </c>
      <c r="E20" s="222" t="s">
        <v>412</v>
      </c>
      <c r="F20" s="331" t="s">
        <v>399</v>
      </c>
      <c r="G20" s="566">
        <v>6.77</v>
      </c>
      <c r="H20" s="567">
        <v>0.1</v>
      </c>
      <c r="I20" s="566" t="s">
        <v>464</v>
      </c>
      <c r="J20" s="567">
        <v>0</v>
      </c>
      <c r="K20" s="566" t="s">
        <v>464</v>
      </c>
      <c r="L20" s="567">
        <v>0</v>
      </c>
      <c r="M20" s="324">
        <v>6.77</v>
      </c>
      <c r="N20" s="359">
        <v>0.1</v>
      </c>
      <c r="O20" s="228"/>
      <c r="P20" s="157"/>
      <c r="Q20" s="209"/>
      <c r="R20" s="146"/>
      <c r="S20" s="209"/>
      <c r="T20" s="146"/>
      <c r="U20" s="209"/>
      <c r="V20" s="146"/>
      <c r="W20" s="229"/>
      <c r="X20" s="152"/>
    </row>
    <row r="21" spans="1:25" ht="15" customHeight="1" x14ac:dyDescent="0.3">
      <c r="A21" s="219"/>
      <c r="B21" s="220">
        <v>6</v>
      </c>
      <c r="C21" s="162">
        <v>44</v>
      </c>
      <c r="D21" s="221" t="s">
        <v>306</v>
      </c>
      <c r="E21" s="222" t="s">
        <v>307</v>
      </c>
      <c r="F21" s="331" t="s">
        <v>364</v>
      </c>
      <c r="G21" s="566">
        <v>6.12</v>
      </c>
      <c r="H21" s="567">
        <v>0</v>
      </c>
      <c r="I21" s="566" t="s">
        <v>464</v>
      </c>
      <c r="J21" s="567">
        <v>0</v>
      </c>
      <c r="K21" s="566" t="s">
        <v>464</v>
      </c>
      <c r="L21" s="567">
        <v>0</v>
      </c>
      <c r="M21" s="324">
        <v>6.12</v>
      </c>
      <c r="N21" s="359">
        <v>0</v>
      </c>
      <c r="O21" s="228"/>
      <c r="P21" s="157"/>
      <c r="Q21" s="209"/>
      <c r="R21" s="146"/>
      <c r="S21" s="209"/>
      <c r="T21" s="146"/>
      <c r="U21" s="209"/>
      <c r="V21" s="146"/>
      <c r="W21" s="229"/>
      <c r="X21" s="152"/>
    </row>
    <row r="22" spans="1:25" ht="15" customHeight="1" x14ac:dyDescent="0.3">
      <c r="A22" s="219"/>
      <c r="B22" s="220">
        <v>7</v>
      </c>
      <c r="C22" s="304">
        <v>116</v>
      </c>
      <c r="D22" s="221" t="s">
        <v>453</v>
      </c>
      <c r="E22" s="222" t="s">
        <v>454</v>
      </c>
      <c r="F22" s="331" t="s">
        <v>448</v>
      </c>
      <c r="G22" s="566">
        <v>7.02</v>
      </c>
      <c r="H22" s="567">
        <v>0.4</v>
      </c>
      <c r="I22" s="566" t="s">
        <v>464</v>
      </c>
      <c r="J22" s="567">
        <v>0</v>
      </c>
      <c r="K22" s="566" t="s">
        <v>464</v>
      </c>
      <c r="L22" s="567">
        <v>0</v>
      </c>
      <c r="M22" s="324">
        <v>7.02</v>
      </c>
      <c r="N22" s="359">
        <v>0.4</v>
      </c>
      <c r="O22" s="228"/>
      <c r="P22" s="157"/>
      <c r="Q22" s="209"/>
      <c r="R22" s="146"/>
      <c r="S22" s="209"/>
      <c r="T22" s="146"/>
      <c r="U22" s="209"/>
      <c r="V22" s="146"/>
      <c r="W22" s="229"/>
      <c r="X22" s="152"/>
    </row>
    <row r="23" spans="1:25" ht="15" customHeight="1" x14ac:dyDescent="0.3">
      <c r="A23" s="219"/>
      <c r="B23" s="220">
        <v>8</v>
      </c>
      <c r="C23" s="162">
        <v>99</v>
      </c>
      <c r="D23" s="221" t="s">
        <v>421</v>
      </c>
      <c r="E23" s="222" t="s">
        <v>422</v>
      </c>
      <c r="F23" s="223" t="s">
        <v>424</v>
      </c>
      <c r="G23" s="566">
        <v>6.35</v>
      </c>
      <c r="H23" s="567">
        <v>0</v>
      </c>
      <c r="I23" s="566" t="s">
        <v>464</v>
      </c>
      <c r="J23" s="567">
        <v>0</v>
      </c>
      <c r="K23" s="566" t="s">
        <v>464</v>
      </c>
      <c r="L23" s="567">
        <v>0</v>
      </c>
      <c r="M23" s="324">
        <v>6.35</v>
      </c>
      <c r="N23" s="359">
        <v>1.6</v>
      </c>
      <c r="O23" s="228"/>
      <c r="P23" s="157"/>
      <c r="Q23" s="209"/>
      <c r="R23" s="146"/>
      <c r="S23" s="209"/>
      <c r="T23" s="146"/>
      <c r="U23" s="209"/>
      <c r="V23" s="146"/>
      <c r="W23" s="229"/>
      <c r="X23" s="152"/>
    </row>
    <row r="24" spans="1:25" ht="15" customHeight="1" x14ac:dyDescent="0.3">
      <c r="A24" s="219"/>
      <c r="B24" s="220">
        <v>9</v>
      </c>
      <c r="C24" s="162">
        <v>89</v>
      </c>
      <c r="D24" s="221" t="s">
        <v>402</v>
      </c>
      <c r="E24" s="222" t="s">
        <v>403</v>
      </c>
      <c r="F24" s="223" t="s">
        <v>399</v>
      </c>
      <c r="G24" s="566">
        <v>7.16</v>
      </c>
      <c r="H24" s="567">
        <v>0.7</v>
      </c>
      <c r="I24" s="566" t="s">
        <v>464</v>
      </c>
      <c r="J24" s="567">
        <v>0</v>
      </c>
      <c r="K24" s="566" t="s">
        <v>464</v>
      </c>
      <c r="L24" s="567">
        <v>0</v>
      </c>
      <c r="M24" s="324">
        <v>7.16</v>
      </c>
      <c r="N24" s="359">
        <v>0.7</v>
      </c>
      <c r="O24" s="228"/>
      <c r="P24" s="157"/>
      <c r="Q24" s="209"/>
      <c r="R24" s="146"/>
      <c r="S24" s="209"/>
      <c r="T24" s="146"/>
      <c r="U24" s="209"/>
      <c r="V24" s="146"/>
      <c r="W24" s="229"/>
      <c r="X24" s="152"/>
    </row>
    <row r="25" spans="1:25" ht="15" customHeight="1" x14ac:dyDescent="0.3">
      <c r="A25" s="219"/>
      <c r="B25" s="220">
        <v>10</v>
      </c>
      <c r="C25" s="162">
        <v>107</v>
      </c>
      <c r="D25" s="221" t="s">
        <v>457</v>
      </c>
      <c r="E25" s="222" t="s">
        <v>458</v>
      </c>
      <c r="F25" s="223" t="s">
        <v>460</v>
      </c>
      <c r="G25" s="566">
        <v>6.86</v>
      </c>
      <c r="H25" s="567">
        <v>0.1</v>
      </c>
      <c r="I25" s="566" t="s">
        <v>464</v>
      </c>
      <c r="J25" s="567">
        <v>0</v>
      </c>
      <c r="K25" s="566" t="s">
        <v>464</v>
      </c>
      <c r="L25" s="567">
        <v>0</v>
      </c>
      <c r="M25" s="324">
        <v>6.86</v>
      </c>
      <c r="N25" s="359">
        <v>0.1</v>
      </c>
      <c r="O25" s="228"/>
      <c r="P25" s="157"/>
      <c r="Q25" s="209"/>
      <c r="R25" s="146"/>
      <c r="S25" s="209"/>
      <c r="T25" s="146"/>
      <c r="U25" s="209"/>
      <c r="V25" s="146"/>
      <c r="W25" s="229"/>
      <c r="X25" s="152"/>
    </row>
    <row r="26" spans="1:25" ht="15" customHeight="1" x14ac:dyDescent="0.3">
      <c r="A26" s="219"/>
      <c r="B26" s="220">
        <v>11</v>
      </c>
      <c r="C26" s="197">
        <v>1</v>
      </c>
      <c r="D26" s="221" t="s">
        <v>312</v>
      </c>
      <c r="E26" s="222" t="s">
        <v>313</v>
      </c>
      <c r="F26" s="223" t="s">
        <v>354</v>
      </c>
      <c r="G26" s="566">
        <v>6.79</v>
      </c>
      <c r="H26" s="567">
        <v>0</v>
      </c>
      <c r="I26" s="566" t="s">
        <v>464</v>
      </c>
      <c r="J26" s="567">
        <v>0</v>
      </c>
      <c r="K26" s="566" t="s">
        <v>464</v>
      </c>
      <c r="L26" s="567">
        <v>0</v>
      </c>
      <c r="M26" s="324">
        <v>6.79</v>
      </c>
      <c r="N26" s="359">
        <v>0</v>
      </c>
      <c r="O26" s="228"/>
      <c r="P26" s="157"/>
      <c r="Q26" s="209"/>
      <c r="R26" s="146"/>
      <c r="S26" s="209"/>
      <c r="T26" s="146"/>
      <c r="U26" s="209"/>
      <c r="V26" s="146"/>
      <c r="W26" s="229"/>
      <c r="X26" s="152"/>
      <c r="Y26" s="41" t="s">
        <v>240</v>
      </c>
    </row>
    <row r="27" spans="1:25" ht="15" customHeight="1" x14ac:dyDescent="0.3">
      <c r="A27" s="219"/>
      <c r="B27" s="220">
        <v>12</v>
      </c>
      <c r="C27" s="162">
        <v>40</v>
      </c>
      <c r="D27" s="221" t="s">
        <v>375</v>
      </c>
      <c r="E27" s="222" t="s">
        <v>376</v>
      </c>
      <c r="F27" s="223" t="s">
        <v>377</v>
      </c>
      <c r="G27" s="566">
        <v>6.24</v>
      </c>
      <c r="H27" s="567">
        <v>0.3</v>
      </c>
      <c r="I27" s="566" t="s">
        <v>464</v>
      </c>
      <c r="J27" s="567">
        <v>0</v>
      </c>
      <c r="K27" s="566" t="s">
        <v>464</v>
      </c>
      <c r="L27" s="567">
        <v>0</v>
      </c>
      <c r="M27" s="324">
        <v>6.24</v>
      </c>
      <c r="N27" s="359">
        <v>0.3</v>
      </c>
      <c r="O27" s="228"/>
      <c r="P27" s="157"/>
      <c r="Q27" s="209"/>
      <c r="R27" s="146"/>
      <c r="S27" s="209"/>
      <c r="T27" s="146"/>
      <c r="U27" s="209"/>
      <c r="V27" s="146"/>
      <c r="W27" s="229"/>
      <c r="X27" s="152"/>
    </row>
    <row r="28" spans="1:25" ht="15" customHeight="1" x14ac:dyDescent="0.3">
      <c r="A28" s="219"/>
      <c r="B28" s="220">
        <v>13</v>
      </c>
      <c r="C28" s="304">
        <v>86</v>
      </c>
      <c r="D28" s="221" t="s">
        <v>396</v>
      </c>
      <c r="E28" s="222" t="s">
        <v>397</v>
      </c>
      <c r="F28" s="223" t="s">
        <v>399</v>
      </c>
      <c r="G28" s="566">
        <v>6.62</v>
      </c>
      <c r="H28" s="567">
        <v>0</v>
      </c>
      <c r="I28" s="566" t="s">
        <v>464</v>
      </c>
      <c r="J28" s="567">
        <v>0</v>
      </c>
      <c r="K28" s="566" t="s">
        <v>464</v>
      </c>
      <c r="L28" s="567">
        <v>0</v>
      </c>
      <c r="M28" s="324">
        <v>6.62</v>
      </c>
      <c r="N28" s="359">
        <v>0</v>
      </c>
      <c r="O28" s="228"/>
      <c r="P28" s="157"/>
      <c r="Q28" s="209"/>
      <c r="R28" s="146"/>
      <c r="S28" s="209"/>
      <c r="T28" s="146"/>
      <c r="U28" s="209"/>
      <c r="V28" s="146"/>
      <c r="W28" s="229"/>
      <c r="X28" s="152"/>
    </row>
    <row r="29" spans="1:25" ht="15" customHeight="1" x14ac:dyDescent="0.3">
      <c r="A29" s="219"/>
      <c r="B29" s="220">
        <v>14</v>
      </c>
      <c r="C29" s="162">
        <v>78</v>
      </c>
      <c r="D29" s="221" t="s">
        <v>304</v>
      </c>
      <c r="E29" s="222" t="s">
        <v>305</v>
      </c>
      <c r="F29" s="223" t="s">
        <v>391</v>
      </c>
      <c r="G29" s="566">
        <v>6.24</v>
      </c>
      <c r="H29" s="567">
        <v>0.3</v>
      </c>
      <c r="I29" s="566" t="s">
        <v>464</v>
      </c>
      <c r="J29" s="567">
        <v>0</v>
      </c>
      <c r="K29" s="566" t="s">
        <v>464</v>
      </c>
      <c r="L29" s="567">
        <v>0</v>
      </c>
      <c r="M29" s="324">
        <v>6.24</v>
      </c>
      <c r="N29" s="359">
        <v>0.3</v>
      </c>
      <c r="O29" s="228"/>
      <c r="P29" s="157"/>
      <c r="Q29" s="209"/>
      <c r="R29" s="146"/>
      <c r="S29" s="209"/>
      <c r="T29" s="146"/>
      <c r="U29" s="209"/>
      <c r="V29" s="146"/>
      <c r="W29" s="229"/>
      <c r="X29" s="152"/>
    </row>
    <row r="30" spans="1:25" ht="15" customHeight="1" x14ac:dyDescent="0.3">
      <c r="A30" s="219"/>
      <c r="B30" s="220">
        <v>15</v>
      </c>
      <c r="C30" s="162">
        <v>43</v>
      </c>
      <c r="D30" s="221" t="s">
        <v>371</v>
      </c>
      <c r="E30" s="222" t="s">
        <v>372</v>
      </c>
      <c r="F30" s="223" t="s">
        <v>364</v>
      </c>
      <c r="G30" s="566">
        <v>7.04</v>
      </c>
      <c r="H30" s="567">
        <v>0</v>
      </c>
      <c r="I30" s="566" t="s">
        <v>464</v>
      </c>
      <c r="J30" s="567">
        <v>0</v>
      </c>
      <c r="K30" s="566" t="s">
        <v>464</v>
      </c>
      <c r="L30" s="567">
        <v>0</v>
      </c>
      <c r="M30" s="324">
        <v>7.04</v>
      </c>
      <c r="N30" s="359">
        <v>0</v>
      </c>
      <c r="O30" s="228"/>
      <c r="Q30" s="209"/>
      <c r="R30" s="146"/>
      <c r="S30" s="209"/>
      <c r="T30" s="146"/>
      <c r="U30" s="209"/>
      <c r="V30" s="146"/>
      <c r="W30" s="229"/>
      <c r="X30" s="152"/>
    </row>
    <row r="31" spans="1:25" ht="15" customHeight="1" x14ac:dyDescent="0.3">
      <c r="A31" s="219"/>
      <c r="B31" s="220">
        <v>16</v>
      </c>
      <c r="C31" s="162">
        <v>83</v>
      </c>
      <c r="D31" s="221" t="s">
        <v>405</v>
      </c>
      <c r="E31" s="222" t="s">
        <v>406</v>
      </c>
      <c r="F31" s="223" t="s">
        <v>399</v>
      </c>
      <c r="G31" s="566">
        <v>7.22</v>
      </c>
      <c r="H31" s="567">
        <v>0.4</v>
      </c>
      <c r="I31" s="566" t="s">
        <v>464</v>
      </c>
      <c r="J31" s="567">
        <v>0</v>
      </c>
      <c r="K31" s="566" t="s">
        <v>464</v>
      </c>
      <c r="L31" s="567">
        <v>0</v>
      </c>
      <c r="M31" s="324">
        <v>7.22</v>
      </c>
      <c r="N31" s="359">
        <v>0.4</v>
      </c>
      <c r="O31" s="228"/>
      <c r="P31" s="157"/>
      <c r="Q31" s="209"/>
      <c r="R31" s="146"/>
      <c r="S31" s="209"/>
      <c r="T31" s="146"/>
      <c r="U31" s="209"/>
      <c r="V31" s="146"/>
      <c r="W31" s="229"/>
      <c r="X31" s="152"/>
      <c r="Y31" s="41" t="s">
        <v>164</v>
      </c>
    </row>
    <row r="32" spans="1:25" ht="15" customHeight="1" x14ac:dyDescent="0.3">
      <c r="A32" s="219"/>
      <c r="B32" s="220">
        <v>17</v>
      </c>
      <c r="C32" s="162">
        <v>101</v>
      </c>
      <c r="D32" s="221" t="s">
        <v>427</v>
      </c>
      <c r="E32" s="222" t="s">
        <v>428</v>
      </c>
      <c r="F32" s="223" t="s">
        <v>424</v>
      </c>
      <c r="G32" s="566">
        <v>6.98</v>
      </c>
      <c r="H32" s="567">
        <v>-0.6</v>
      </c>
      <c r="I32" s="566" t="s">
        <v>464</v>
      </c>
      <c r="J32" s="567">
        <v>0</v>
      </c>
      <c r="K32" s="566" t="s">
        <v>464</v>
      </c>
      <c r="L32" s="567">
        <v>0</v>
      </c>
      <c r="M32" s="324">
        <v>6.98</v>
      </c>
      <c r="N32" s="359">
        <v>-0.6</v>
      </c>
      <c r="O32" s="228"/>
      <c r="P32" s="157"/>
      <c r="Q32" s="209"/>
      <c r="R32" s="146"/>
      <c r="S32" s="209"/>
      <c r="T32" s="146"/>
      <c r="U32" s="209"/>
      <c r="V32" s="146"/>
      <c r="W32" s="229"/>
      <c r="X32" s="152"/>
    </row>
    <row r="33" spans="1:25" ht="13.2" customHeight="1" x14ac:dyDescent="0.3">
      <c r="A33" s="219"/>
      <c r="B33" s="765"/>
      <c r="C33" s="549"/>
      <c r="D33" s="576"/>
      <c r="E33" s="577"/>
      <c r="F33" s="578"/>
      <c r="G33" s="579"/>
      <c r="H33" s="580"/>
      <c r="I33" s="579"/>
      <c r="J33" s="580"/>
      <c r="K33" s="579"/>
      <c r="L33" s="580"/>
      <c r="M33" s="585"/>
      <c r="N33" s="766"/>
      <c r="O33" s="228"/>
      <c r="P33" s="157"/>
      <c r="Q33" s="209"/>
      <c r="R33" s="146"/>
      <c r="S33" s="209"/>
      <c r="T33" s="146"/>
      <c r="U33" s="209"/>
      <c r="V33" s="146"/>
      <c r="W33" s="229"/>
      <c r="X33" s="152"/>
    </row>
    <row r="34" spans="1:25" ht="16.05" customHeight="1" x14ac:dyDescent="0.3">
      <c r="A34" s="219"/>
      <c r="B34" s="557" t="s">
        <v>325</v>
      </c>
      <c r="C34" s="549"/>
      <c r="D34" s="576"/>
      <c r="E34" s="577"/>
      <c r="F34" s="578"/>
      <c r="G34" s="579"/>
      <c r="H34" s="580"/>
      <c r="I34" s="579"/>
      <c r="J34" s="580"/>
      <c r="K34" s="579"/>
      <c r="L34" s="580"/>
      <c r="M34" s="581"/>
      <c r="N34" s="582"/>
      <c r="O34" s="228"/>
      <c r="P34" s="157"/>
      <c r="Q34" s="209"/>
      <c r="R34" s="146"/>
      <c r="S34" s="209"/>
      <c r="T34" s="146"/>
      <c r="U34" s="209"/>
      <c r="V34" s="146"/>
      <c r="W34" s="229"/>
      <c r="X34" s="152"/>
      <c r="Y34" s="41" t="s">
        <v>240</v>
      </c>
    </row>
    <row r="35" spans="1:25" ht="16.05" customHeight="1" x14ac:dyDescent="0.3">
      <c r="A35" s="219"/>
      <c r="B35" s="557" t="s">
        <v>332</v>
      </c>
      <c r="C35" s="549"/>
      <c r="D35" s="576"/>
      <c r="E35" s="577"/>
      <c r="F35" s="578"/>
      <c r="G35" s="579"/>
      <c r="H35" s="580"/>
      <c r="I35" s="579"/>
      <c r="J35" s="580"/>
      <c r="K35" s="579"/>
      <c r="L35" s="580"/>
      <c r="M35" s="581"/>
      <c r="N35" s="582"/>
      <c r="O35" s="228"/>
      <c r="P35" s="157"/>
      <c r="Q35" s="209"/>
      <c r="R35" s="146"/>
      <c r="S35" s="209"/>
      <c r="T35" s="146"/>
      <c r="U35" s="209"/>
      <c r="V35" s="146"/>
      <c r="W35" s="229"/>
      <c r="X35" s="152"/>
    </row>
    <row r="36" spans="1:25" ht="16.05" customHeight="1" x14ac:dyDescent="0.3">
      <c r="A36" s="219"/>
      <c r="B36" s="557" t="s">
        <v>333</v>
      </c>
      <c r="C36" s="549"/>
      <c r="D36" s="576"/>
      <c r="E36" s="577"/>
      <c r="F36" s="578"/>
      <c r="G36" s="579"/>
      <c r="H36" s="580"/>
      <c r="I36" s="579"/>
      <c r="J36" s="580"/>
      <c r="K36" s="579"/>
      <c r="L36" s="580"/>
      <c r="M36" s="581"/>
      <c r="N36" s="582"/>
      <c r="O36" s="228"/>
      <c r="P36" s="157"/>
      <c r="Q36" s="209"/>
      <c r="R36" s="146"/>
      <c r="S36" s="209"/>
      <c r="T36" s="146"/>
      <c r="U36" s="209"/>
      <c r="V36" s="146"/>
      <c r="W36" s="229"/>
      <c r="X36" s="152"/>
    </row>
    <row r="37" spans="1:25" ht="13.2" customHeight="1" x14ac:dyDescent="0.3">
      <c r="A37" s="219"/>
      <c r="B37" s="575"/>
      <c r="C37" s="583"/>
      <c r="D37" s="576"/>
      <c r="E37" s="577"/>
      <c r="F37" s="578"/>
      <c r="G37" s="579"/>
      <c r="H37" s="580"/>
      <c r="I37" s="579"/>
      <c r="J37" s="580"/>
      <c r="K37" s="579"/>
      <c r="L37" s="580"/>
      <c r="M37" s="581"/>
      <c r="N37" s="582"/>
      <c r="O37" s="228"/>
      <c r="P37" s="157"/>
      <c r="Q37" s="209"/>
      <c r="R37" s="146"/>
      <c r="S37" s="209"/>
      <c r="T37" s="146"/>
      <c r="U37" s="209"/>
      <c r="V37" s="146"/>
      <c r="W37" s="229"/>
      <c r="X37" s="152"/>
    </row>
    <row r="38" spans="1:25" ht="13.2" customHeight="1" x14ac:dyDescent="0.3">
      <c r="A38" s="219"/>
      <c r="B38" s="568"/>
      <c r="C38" s="569"/>
      <c r="D38" s="326"/>
      <c r="E38" s="327"/>
      <c r="F38" s="570"/>
      <c r="G38" s="571"/>
      <c r="H38" s="572"/>
      <c r="I38" s="571"/>
      <c r="J38" s="572"/>
      <c r="K38" s="571"/>
      <c r="L38" s="572"/>
      <c r="M38" s="573"/>
      <c r="N38" s="574"/>
      <c r="O38" s="228"/>
      <c r="P38" s="157"/>
      <c r="Q38" s="209"/>
      <c r="R38" s="146"/>
      <c r="S38" s="209"/>
      <c r="T38" s="146"/>
      <c r="U38" s="209"/>
      <c r="V38" s="146"/>
      <c r="W38" s="229"/>
      <c r="X38" s="152"/>
      <c r="Y38" s="41" t="s">
        <v>240</v>
      </c>
    </row>
    <row r="39" spans="1:25" ht="13.2" customHeight="1" x14ac:dyDescent="0.3">
      <c r="A39" s="219"/>
      <c r="B39" s="220"/>
      <c r="C39" s="230"/>
      <c r="D39" s="221"/>
      <c r="E39" s="222"/>
      <c r="F39" s="223"/>
      <c r="G39" s="224"/>
      <c r="H39" s="225"/>
      <c r="I39" s="224"/>
      <c r="J39" s="225"/>
      <c r="K39" s="224"/>
      <c r="L39" s="225"/>
      <c r="M39" s="226"/>
      <c r="N39" s="227"/>
      <c r="O39" s="228"/>
      <c r="P39" s="157"/>
      <c r="Q39" s="209"/>
      <c r="R39" s="146"/>
      <c r="S39" s="209"/>
      <c r="T39" s="146"/>
      <c r="U39" s="209"/>
      <c r="V39" s="146"/>
      <c r="W39" s="229"/>
      <c r="X39" s="152"/>
    </row>
    <row r="40" spans="1:25" ht="13.2" customHeight="1" x14ac:dyDescent="0.3">
      <c r="A40" s="219"/>
      <c r="B40" s="220"/>
      <c r="C40" s="220"/>
      <c r="D40" s="221"/>
      <c r="E40" s="222"/>
      <c r="F40" s="223"/>
      <c r="G40" s="224"/>
      <c r="H40" s="225"/>
      <c r="I40" s="224"/>
      <c r="J40" s="225"/>
      <c r="K40" s="224"/>
      <c r="L40" s="225"/>
      <c r="M40" s="226"/>
      <c r="N40" s="227"/>
      <c r="O40" s="228"/>
      <c r="P40" s="157"/>
      <c r="Q40" s="209"/>
      <c r="R40" s="146"/>
      <c r="S40" s="209"/>
      <c r="T40" s="146"/>
      <c r="U40" s="209"/>
      <c r="V40" s="146"/>
      <c r="W40" s="229"/>
      <c r="X40" s="152"/>
    </row>
    <row r="41" spans="1:25" ht="13.2" customHeight="1" x14ac:dyDescent="0.3">
      <c r="A41" s="219"/>
      <c r="B41" s="220"/>
      <c r="C41" s="230"/>
      <c r="D41" s="221"/>
      <c r="E41" s="222"/>
      <c r="F41" s="223"/>
      <c r="G41" s="224"/>
      <c r="H41" s="225"/>
      <c r="I41" s="224"/>
      <c r="J41" s="225"/>
      <c r="K41" s="224"/>
      <c r="L41" s="225"/>
      <c r="M41" s="226"/>
      <c r="N41" s="227"/>
      <c r="O41" s="228"/>
      <c r="P41" s="157"/>
      <c r="Q41" s="209"/>
      <c r="R41" s="146"/>
      <c r="S41" s="209"/>
      <c r="T41" s="146"/>
      <c r="U41" s="209"/>
      <c r="V41" s="146"/>
      <c r="W41" s="229"/>
      <c r="X41" s="152"/>
    </row>
    <row r="42" spans="1:25" ht="13.2" customHeight="1" x14ac:dyDescent="0.3">
      <c r="A42" s="219"/>
      <c r="B42" s="220"/>
      <c r="C42" s="220"/>
      <c r="D42" s="221"/>
      <c r="E42" s="222"/>
      <c r="F42" s="223"/>
      <c r="G42" s="224"/>
      <c r="H42" s="225"/>
      <c r="I42" s="224"/>
      <c r="J42" s="225"/>
      <c r="K42" s="224"/>
      <c r="L42" s="225"/>
      <c r="M42" s="226"/>
      <c r="N42" s="227"/>
      <c r="O42" s="228"/>
      <c r="Q42" s="209"/>
      <c r="R42" s="146"/>
      <c r="S42" s="209"/>
      <c r="T42" s="146"/>
      <c r="U42" s="209"/>
      <c r="V42" s="146"/>
      <c r="W42" s="229"/>
      <c r="X42" s="152"/>
    </row>
    <row r="43" spans="1:25" ht="13.2" customHeight="1" x14ac:dyDescent="0.3">
      <c r="A43" s="219"/>
      <c r="B43" s="220"/>
      <c r="C43" s="230"/>
      <c r="D43" s="221"/>
      <c r="E43" s="222"/>
      <c r="F43" s="223"/>
      <c r="G43" s="224"/>
      <c r="H43" s="225"/>
      <c r="I43" s="224"/>
      <c r="J43" s="225"/>
      <c r="K43" s="224"/>
      <c r="L43" s="225"/>
      <c r="M43" s="226"/>
      <c r="N43" s="227"/>
      <c r="O43" s="228"/>
      <c r="P43" s="157"/>
      <c r="Q43" s="209"/>
      <c r="R43" s="146"/>
      <c r="S43" s="209"/>
      <c r="T43" s="146"/>
      <c r="U43" s="209"/>
      <c r="V43" s="146"/>
      <c r="W43" s="229"/>
      <c r="X43" s="152"/>
    </row>
    <row r="44" spans="1:25" ht="13.2" customHeight="1" x14ac:dyDescent="0.3">
      <c r="A44" s="219"/>
      <c r="B44" s="220"/>
      <c r="C44" s="220"/>
      <c r="D44" s="221"/>
      <c r="E44" s="222"/>
      <c r="F44" s="223"/>
      <c r="G44" s="224"/>
      <c r="H44" s="225"/>
      <c r="I44" s="224"/>
      <c r="J44" s="225"/>
      <c r="K44" s="224"/>
      <c r="L44" s="225"/>
      <c r="M44" s="226"/>
      <c r="N44" s="227"/>
      <c r="O44" s="228"/>
      <c r="P44" s="157"/>
      <c r="Q44" s="209"/>
      <c r="R44" s="146"/>
      <c r="S44" s="209"/>
      <c r="T44" s="146"/>
      <c r="U44" s="209"/>
      <c r="V44" s="146"/>
      <c r="W44" s="229"/>
      <c r="X44" s="152"/>
    </row>
    <row r="45" spans="1:25" ht="13.2" customHeight="1" x14ac:dyDescent="0.3">
      <c r="A45" s="219"/>
      <c r="B45" s="220"/>
      <c r="C45" s="220"/>
      <c r="D45" s="221"/>
      <c r="E45" s="222"/>
      <c r="F45" s="223"/>
      <c r="G45" s="224"/>
      <c r="H45" s="225"/>
      <c r="I45" s="224"/>
      <c r="J45" s="225"/>
      <c r="K45" s="224"/>
      <c r="L45" s="225"/>
      <c r="M45" s="226"/>
      <c r="N45" s="227"/>
      <c r="O45" s="228"/>
      <c r="P45" s="157"/>
      <c r="Q45" s="209"/>
      <c r="R45" s="146"/>
      <c r="S45" s="209"/>
      <c r="T45" s="146"/>
      <c r="U45" s="209"/>
      <c r="V45" s="146"/>
      <c r="W45" s="229"/>
      <c r="X45" s="152"/>
    </row>
    <row r="46" spans="1:25" ht="13.2" customHeight="1" x14ac:dyDescent="0.3">
      <c r="A46" s="219"/>
      <c r="B46" s="220"/>
      <c r="C46" s="220"/>
      <c r="D46" s="221"/>
      <c r="E46" s="222"/>
      <c r="F46" s="223"/>
      <c r="G46" s="224"/>
      <c r="H46" s="225"/>
      <c r="I46" s="224"/>
      <c r="J46" s="225"/>
      <c r="K46" s="224"/>
      <c r="L46" s="225"/>
      <c r="M46" s="226"/>
      <c r="N46" s="227"/>
      <c r="O46" s="228"/>
      <c r="P46" s="157"/>
      <c r="Q46" s="209"/>
      <c r="R46" s="146"/>
      <c r="S46" s="209"/>
      <c r="T46" s="146"/>
      <c r="U46" s="209"/>
      <c r="V46" s="146"/>
      <c r="W46" s="229"/>
      <c r="X46" s="152"/>
      <c r="Y46" s="41" t="s">
        <v>240</v>
      </c>
    </row>
    <row r="47" spans="1:25" ht="13.2" customHeight="1" x14ac:dyDescent="0.3">
      <c r="A47" s="219"/>
      <c r="B47" s="220"/>
      <c r="C47" s="220"/>
      <c r="D47" s="221"/>
      <c r="E47" s="222"/>
      <c r="F47" s="223"/>
      <c r="G47" s="224"/>
      <c r="H47" s="225"/>
      <c r="I47" s="224"/>
      <c r="J47" s="225"/>
      <c r="K47" s="224"/>
      <c r="L47" s="225"/>
      <c r="M47" s="226"/>
      <c r="N47" s="227"/>
      <c r="O47" s="228"/>
      <c r="P47" s="157"/>
      <c r="Q47" s="209"/>
      <c r="R47" s="146"/>
      <c r="S47" s="209"/>
      <c r="T47" s="146"/>
      <c r="U47" s="209"/>
      <c r="V47" s="146"/>
      <c r="W47" s="229"/>
      <c r="X47" s="152"/>
    </row>
    <row r="48" spans="1:25" ht="13.2" customHeight="1" x14ac:dyDescent="0.3">
      <c r="A48" s="219"/>
      <c r="B48" s="220"/>
      <c r="C48" s="220"/>
      <c r="D48" s="221"/>
      <c r="E48" s="222"/>
      <c r="F48" s="223"/>
      <c r="G48" s="224"/>
      <c r="H48" s="225"/>
      <c r="I48" s="224"/>
      <c r="J48" s="225"/>
      <c r="K48" s="224"/>
      <c r="L48" s="225"/>
      <c r="M48" s="226"/>
      <c r="N48" s="227"/>
      <c r="O48" s="228"/>
      <c r="P48" s="157"/>
      <c r="Q48" s="209"/>
      <c r="R48" s="210"/>
      <c r="S48" s="209"/>
      <c r="T48" s="146"/>
      <c r="U48" s="209"/>
      <c r="V48" s="146"/>
      <c r="W48" s="229"/>
      <c r="X48" s="152"/>
    </row>
    <row r="49" spans="1:25" ht="13.2" customHeight="1" x14ac:dyDescent="0.3">
      <c r="A49" s="219"/>
      <c r="B49" s="220"/>
      <c r="C49" s="220"/>
      <c r="D49" s="221"/>
      <c r="E49" s="222"/>
      <c r="F49" s="223"/>
      <c r="G49" s="224"/>
      <c r="H49" s="225"/>
      <c r="I49" s="224"/>
      <c r="J49" s="225"/>
      <c r="K49" s="224"/>
      <c r="L49" s="225"/>
      <c r="M49" s="226"/>
      <c r="N49" s="227"/>
      <c r="O49" s="228"/>
      <c r="P49" s="157"/>
      <c r="Q49" s="209"/>
      <c r="R49" s="210"/>
      <c r="S49" s="209"/>
      <c r="T49" s="146"/>
      <c r="U49" s="209"/>
      <c r="V49" s="146"/>
      <c r="W49" s="229"/>
      <c r="X49" s="152"/>
      <c r="Y49" s="41" t="s">
        <v>240</v>
      </c>
    </row>
    <row r="50" spans="1:25" ht="13.8" x14ac:dyDescent="0.3">
      <c r="B50" s="148"/>
      <c r="C50" s="231"/>
      <c r="E50" s="232"/>
      <c r="F50" s="233"/>
      <c r="G50" s="234"/>
      <c r="H50" s="235"/>
      <c r="I50" s="234"/>
      <c r="J50" s="235"/>
      <c r="K50" s="234"/>
      <c r="L50" s="235"/>
      <c r="M50" s="236"/>
      <c r="N50" s="237"/>
      <c r="O50" s="157"/>
    </row>
    <row r="51" spans="1:25" ht="13.8" x14ac:dyDescent="0.3">
      <c r="B51" s="148"/>
      <c r="C51" s="231"/>
      <c r="E51" s="232"/>
      <c r="F51" s="233"/>
      <c r="G51" s="234"/>
      <c r="H51" s="235"/>
      <c r="I51" s="234"/>
      <c r="J51" s="235"/>
      <c r="K51" s="234"/>
      <c r="L51" s="235"/>
      <c r="M51" s="236"/>
      <c r="N51" s="237"/>
      <c r="O51" s="157"/>
    </row>
    <row r="52" spans="1:25" ht="13.8" x14ac:dyDescent="0.3">
      <c r="B52" s="148"/>
      <c r="C52" s="231"/>
      <c r="E52" s="232"/>
      <c r="F52" s="233"/>
      <c r="G52" s="234"/>
      <c r="H52" s="235"/>
      <c r="I52" s="234"/>
      <c r="J52" s="235"/>
      <c r="K52" s="234"/>
      <c r="L52" s="235"/>
      <c r="M52" s="236"/>
      <c r="N52" s="237"/>
      <c r="O52" s="157"/>
    </row>
    <row r="53" spans="1:25" ht="13.8" x14ac:dyDescent="0.3">
      <c r="B53" s="148"/>
      <c r="C53" s="231"/>
      <c r="E53" s="232"/>
      <c r="F53" s="233"/>
      <c r="G53" s="234"/>
      <c r="H53" s="235"/>
      <c r="I53" s="234"/>
      <c r="J53" s="235"/>
      <c r="K53" s="234"/>
      <c r="L53" s="235"/>
      <c r="M53" s="236"/>
      <c r="N53" s="237"/>
      <c r="O53" s="157"/>
    </row>
    <row r="54" spans="1:25" ht="13.8" x14ac:dyDescent="0.3">
      <c r="B54" s="148"/>
      <c r="C54" s="231"/>
      <c r="E54" s="232"/>
      <c r="F54" s="233"/>
      <c r="G54" s="234"/>
      <c r="H54" s="235"/>
      <c r="I54" s="234"/>
      <c r="J54" s="235"/>
      <c r="K54" s="234"/>
      <c r="L54" s="235"/>
      <c r="M54" s="236"/>
      <c r="N54" s="237"/>
      <c r="O54" s="157"/>
    </row>
    <row r="55" spans="1:25" ht="13.8" x14ac:dyDescent="0.3">
      <c r="B55" s="148"/>
      <c r="C55" s="231"/>
      <c r="E55" s="232"/>
      <c r="F55" s="233"/>
      <c r="G55" s="234"/>
      <c r="H55" s="235"/>
      <c r="I55" s="234"/>
      <c r="J55" s="235"/>
      <c r="K55" s="234"/>
      <c r="L55" s="235"/>
      <c r="M55" s="236"/>
      <c r="N55" s="237"/>
      <c r="O55" s="157"/>
    </row>
    <row r="57" spans="1:25" x14ac:dyDescent="0.25">
      <c r="C57" s="239"/>
    </row>
    <row r="58" spans="1:25" x14ac:dyDescent="0.25">
      <c r="C58" s="240"/>
    </row>
    <row r="59" spans="1:25" x14ac:dyDescent="0.25">
      <c r="C59" s="239">
        <v>460</v>
      </c>
      <c r="D59" s="41">
        <f t="shared" ref="D59:D79" ca="1" si="0">RAND()</f>
        <v>0.8463932305974351</v>
      </c>
    </row>
    <row r="60" spans="1:25" x14ac:dyDescent="0.25">
      <c r="C60" s="240">
        <v>449</v>
      </c>
      <c r="D60" s="41">
        <f t="shared" ca="1" si="0"/>
        <v>0.13074352376479503</v>
      </c>
    </row>
    <row r="61" spans="1:25" x14ac:dyDescent="0.25">
      <c r="C61" s="240">
        <v>103</v>
      </c>
      <c r="D61" s="41">
        <f t="shared" ca="1" si="0"/>
        <v>0.88529246998468036</v>
      </c>
    </row>
    <row r="62" spans="1:25" x14ac:dyDescent="0.25">
      <c r="C62" s="239">
        <v>452</v>
      </c>
      <c r="D62" s="41">
        <f t="shared" ca="1" si="0"/>
        <v>0.83399856139355666</v>
      </c>
    </row>
    <row r="63" spans="1:25" x14ac:dyDescent="0.25">
      <c r="C63" s="239">
        <v>455</v>
      </c>
      <c r="D63" s="41">
        <f t="shared" ca="1" si="0"/>
        <v>0.57552916891628203</v>
      </c>
    </row>
    <row r="64" spans="1:25" x14ac:dyDescent="0.25">
      <c r="C64" s="240">
        <v>319</v>
      </c>
      <c r="D64" s="41">
        <f t="shared" ca="1" si="0"/>
        <v>0.88681803317191488</v>
      </c>
    </row>
    <row r="65" spans="3:4" x14ac:dyDescent="0.25">
      <c r="C65" s="239">
        <v>315</v>
      </c>
      <c r="D65" s="41">
        <f t="shared" ca="1" si="0"/>
        <v>0.13083270799385527</v>
      </c>
    </row>
    <row r="66" spans="3:4" x14ac:dyDescent="0.25">
      <c r="C66" s="239">
        <v>180</v>
      </c>
      <c r="D66" s="41">
        <f t="shared" ca="1" si="0"/>
        <v>0.72764716786713557</v>
      </c>
    </row>
    <row r="67" spans="3:4" x14ac:dyDescent="0.25">
      <c r="C67" s="240">
        <v>316</v>
      </c>
      <c r="D67" s="41">
        <f t="shared" ca="1" si="0"/>
        <v>0.84921976136474242</v>
      </c>
    </row>
    <row r="68" spans="3:4" x14ac:dyDescent="0.25">
      <c r="C68" s="240">
        <v>99</v>
      </c>
      <c r="D68" s="41">
        <f t="shared" ca="1" si="0"/>
        <v>0.67633777567078279</v>
      </c>
    </row>
    <row r="69" spans="3:4" x14ac:dyDescent="0.25">
      <c r="C69" s="239">
        <v>52</v>
      </c>
      <c r="D69" s="41">
        <f t="shared" ca="1" si="0"/>
        <v>0.45906096264438234</v>
      </c>
    </row>
    <row r="70" spans="3:4" x14ac:dyDescent="0.25">
      <c r="C70" s="241">
        <v>55</v>
      </c>
      <c r="D70" s="41">
        <f t="shared" ca="1" si="0"/>
        <v>0.8630098628969356</v>
      </c>
    </row>
    <row r="71" spans="3:4" x14ac:dyDescent="0.25">
      <c r="C71" s="239">
        <v>334</v>
      </c>
      <c r="D71" s="41">
        <f t="shared" ca="1" si="0"/>
        <v>0.97202709364625062</v>
      </c>
    </row>
    <row r="72" spans="3:4" x14ac:dyDescent="0.25">
      <c r="C72" s="239">
        <v>63</v>
      </c>
      <c r="D72" s="41">
        <f t="shared" ca="1" si="0"/>
        <v>0.95490330359169617</v>
      </c>
    </row>
    <row r="73" spans="3:4" x14ac:dyDescent="0.25">
      <c r="C73" s="239">
        <v>462</v>
      </c>
      <c r="D73" s="41">
        <f t="shared" ca="1" si="0"/>
        <v>0.55412244001815447</v>
      </c>
    </row>
    <row r="74" spans="3:4" x14ac:dyDescent="0.25">
      <c r="C74" s="242">
        <v>101</v>
      </c>
      <c r="D74" s="41">
        <f t="shared" ca="1" si="0"/>
        <v>0.73149648970646708</v>
      </c>
    </row>
    <row r="75" spans="3:4" x14ac:dyDescent="0.25">
      <c r="C75" s="239">
        <v>54</v>
      </c>
      <c r="D75" s="41">
        <f t="shared" ca="1" si="0"/>
        <v>1.8930891583024856E-2</v>
      </c>
    </row>
    <row r="76" spans="3:4" x14ac:dyDescent="0.25">
      <c r="C76" s="239">
        <v>162</v>
      </c>
      <c r="D76" s="41">
        <f t="shared" ca="1" si="0"/>
        <v>0.49310914983242227</v>
      </c>
    </row>
    <row r="77" spans="3:4" x14ac:dyDescent="0.25">
      <c r="C77" s="239">
        <v>96</v>
      </c>
      <c r="D77" s="41">
        <f t="shared" ca="1" si="0"/>
        <v>0.93689104064667372</v>
      </c>
    </row>
    <row r="78" spans="3:4" x14ac:dyDescent="0.25">
      <c r="C78" s="240">
        <v>505</v>
      </c>
      <c r="D78" s="41">
        <f t="shared" ca="1" si="0"/>
        <v>0.61883740267843468</v>
      </c>
    </row>
    <row r="79" spans="3:4" x14ac:dyDescent="0.25">
      <c r="C79" s="240">
        <v>97</v>
      </c>
      <c r="D79" s="41">
        <f t="shared" ca="1" si="0"/>
        <v>0.37966531946790294</v>
      </c>
    </row>
    <row r="80" spans="3:4" x14ac:dyDescent="0.25">
      <c r="C80" s="200"/>
      <c r="D80" s="41">
        <f t="shared" ref="D80:D85" ca="1" si="1">RAND()</f>
        <v>0.4289251868995354</v>
      </c>
    </row>
    <row r="81" spans="3:4" x14ac:dyDescent="0.25">
      <c r="C81" s="200"/>
      <c r="D81" s="41">
        <f t="shared" ca="1" si="1"/>
        <v>0.91565965575548436</v>
      </c>
    </row>
    <row r="82" spans="3:4" x14ac:dyDescent="0.25">
      <c r="C82" s="200"/>
      <c r="D82" s="41">
        <f t="shared" ca="1" si="1"/>
        <v>0.79053058500081042</v>
      </c>
    </row>
    <row r="83" spans="3:4" x14ac:dyDescent="0.25">
      <c r="C83" s="200"/>
      <c r="D83" s="41">
        <f t="shared" ca="1" si="1"/>
        <v>0.86810289103823901</v>
      </c>
    </row>
    <row r="84" spans="3:4" x14ac:dyDescent="0.25">
      <c r="C84" s="200"/>
      <c r="D84" s="41">
        <f t="shared" ca="1" si="1"/>
        <v>0.8873407139127697</v>
      </c>
    </row>
    <row r="85" spans="3:4" x14ac:dyDescent="0.25">
      <c r="C85" s="200"/>
      <c r="D85" s="41">
        <f t="shared" ca="1" si="1"/>
        <v>0.20695114755725352</v>
      </c>
    </row>
  </sheetData>
  <sortState ref="A16:Y32">
    <sortCondition ref="A16:A32"/>
  </sortState>
  <mergeCells count="7">
    <mergeCell ref="B7:N7"/>
    <mergeCell ref="B1:N1"/>
    <mergeCell ref="B2:N2"/>
    <mergeCell ref="B3:N3"/>
    <mergeCell ref="B4:N4"/>
    <mergeCell ref="B5:N5"/>
    <mergeCell ref="B6:N6"/>
  </mergeCells>
  <printOptions horizontalCentered="1"/>
  <pageMargins left="0.22" right="0.19" top="0.24" bottom="0.35" header="0.19" footer="0.23"/>
  <pageSetup paperSize="9" scale="114" orientation="landscape" verticalDpi="300" r:id="rId1"/>
  <headerFooter alignWithMargins="0"/>
  <colBreaks count="1" manualBreakCount="1">
    <brk id="15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D661"/>
  </sheetPr>
  <dimension ref="A1:X72"/>
  <sheetViews>
    <sheetView view="pageBreakPreview" zoomScale="60" workbookViewId="0">
      <selection activeCell="Q26" sqref="Q26"/>
    </sheetView>
  </sheetViews>
  <sheetFormatPr defaultColWidth="9.109375" defaultRowHeight="13.2" outlineLevelRow="1" outlineLevelCol="1" x14ac:dyDescent="0.25"/>
  <cols>
    <col min="1" max="1" width="11.44140625" style="41" customWidth="1" outlineLevel="1"/>
    <col min="2" max="2" width="4.6640625" style="41" customWidth="1"/>
    <col min="3" max="3" width="5.44140625" style="751" hidden="1" customWidth="1"/>
    <col min="4" max="4" width="22.33203125" style="41" customWidth="1"/>
    <col min="5" max="5" width="11.44140625" style="751" customWidth="1" outlineLevel="1"/>
    <col min="6" max="6" width="20" style="41" customWidth="1" outlineLevel="1"/>
    <col min="7" max="10" width="7.6640625" style="751" customWidth="1" outlineLevel="1"/>
    <col min="11" max="12" width="7.6640625" style="41" customWidth="1" outlineLevel="1"/>
    <col min="13" max="13" width="9.6640625" style="41" customWidth="1"/>
    <col min="14" max="14" width="7.6640625" style="41" customWidth="1"/>
    <col min="15" max="15" width="7.6640625" style="149" customWidth="1"/>
    <col min="16" max="16" width="5.6640625" style="149" customWidth="1"/>
    <col min="17" max="17" width="4.6640625" style="205" customWidth="1" outlineLevel="1"/>
    <col min="18" max="18" width="4.6640625" style="238" customWidth="1" outlineLevel="1"/>
    <col min="19" max="19" width="4.6640625" style="205" customWidth="1" outlineLevel="1"/>
    <col min="20" max="20" width="4.33203125" style="238" customWidth="1" outlineLevel="1"/>
    <col min="21" max="21" width="4.6640625" style="751" customWidth="1" outlineLevel="1"/>
    <col min="22" max="22" width="4.6640625" style="238" customWidth="1" outlineLevel="1"/>
    <col min="23" max="23" width="8" style="41" bestFit="1" customWidth="1" outlineLevel="1"/>
    <col min="24" max="24" width="9.109375" style="751" outlineLevel="1"/>
    <col min="25" max="16384" width="9.109375" style="41"/>
  </cols>
  <sheetData>
    <row r="1" spans="1:24" ht="13.2" customHeight="1" x14ac:dyDescent="0.25">
      <c r="B1" s="805" t="s">
        <v>119</v>
      </c>
      <c r="C1" s="805"/>
      <c r="D1" s="805"/>
      <c r="E1" s="805"/>
      <c r="F1" s="805"/>
      <c r="G1" s="805"/>
      <c r="H1" s="805"/>
      <c r="I1" s="805"/>
      <c r="J1" s="805"/>
      <c r="K1" s="805"/>
      <c r="L1" s="805"/>
      <c r="M1" s="805"/>
      <c r="N1" s="805"/>
      <c r="Q1" s="209"/>
      <c r="R1" s="210"/>
      <c r="S1" s="209"/>
      <c r="T1" s="210"/>
      <c r="U1" s="146"/>
      <c r="V1" s="210"/>
      <c r="W1" s="145"/>
      <c r="X1" s="146"/>
    </row>
    <row r="2" spans="1:24" ht="13.2" customHeight="1" x14ac:dyDescent="0.25">
      <c r="B2" s="805" t="s">
        <v>10</v>
      </c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Q2" s="209"/>
      <c r="R2" s="210"/>
      <c r="S2" s="209"/>
      <c r="T2" s="210"/>
      <c r="U2" s="146"/>
      <c r="V2" s="210"/>
      <c r="W2" s="145"/>
      <c r="X2" s="146"/>
    </row>
    <row r="3" spans="1:24" ht="13.2" customHeight="1" x14ac:dyDescent="0.25">
      <c r="B3" s="805" t="s">
        <v>351</v>
      </c>
      <c r="C3" s="805"/>
      <c r="D3" s="805"/>
      <c r="E3" s="805"/>
      <c r="F3" s="805"/>
      <c r="G3" s="805"/>
      <c r="H3" s="805"/>
      <c r="I3" s="805"/>
      <c r="J3" s="805"/>
      <c r="K3" s="805"/>
      <c r="L3" s="805"/>
      <c r="M3" s="805"/>
      <c r="N3" s="805"/>
      <c r="Q3" s="209"/>
      <c r="R3" s="210"/>
      <c r="S3" s="209"/>
      <c r="T3" s="210"/>
      <c r="U3" s="146"/>
      <c r="V3" s="210"/>
      <c r="W3" s="145"/>
      <c r="X3" s="146"/>
    </row>
    <row r="4" spans="1:24" ht="13.2" customHeight="1" x14ac:dyDescent="0.25">
      <c r="B4" s="802" t="s">
        <v>322</v>
      </c>
      <c r="C4" s="802"/>
      <c r="D4" s="802"/>
      <c r="E4" s="802"/>
      <c r="F4" s="802"/>
      <c r="G4" s="802"/>
      <c r="H4" s="802"/>
      <c r="I4" s="802"/>
      <c r="J4" s="802"/>
      <c r="K4" s="802"/>
      <c r="L4" s="802"/>
      <c r="M4" s="802"/>
      <c r="N4" s="802"/>
      <c r="Q4" s="209"/>
      <c r="R4" s="210"/>
      <c r="S4" s="209"/>
      <c r="T4" s="210"/>
      <c r="U4" s="146"/>
      <c r="V4" s="210"/>
      <c r="W4" s="145"/>
      <c r="X4" s="146"/>
    </row>
    <row r="5" spans="1:24" ht="13.2" customHeight="1" x14ac:dyDescent="0.25">
      <c r="B5" s="802" t="s">
        <v>101</v>
      </c>
      <c r="C5" s="802"/>
      <c r="D5" s="802"/>
      <c r="E5" s="802"/>
      <c r="F5" s="802"/>
      <c r="G5" s="802"/>
      <c r="H5" s="802"/>
      <c r="I5" s="802"/>
      <c r="J5" s="802"/>
      <c r="K5" s="802"/>
      <c r="L5" s="802"/>
      <c r="M5" s="802"/>
      <c r="N5" s="802"/>
      <c r="Q5" s="209"/>
      <c r="R5" s="210"/>
      <c r="S5" s="209"/>
      <c r="T5" s="210"/>
      <c r="U5" s="146"/>
      <c r="V5" s="210"/>
      <c r="W5" s="145"/>
      <c r="X5" s="146"/>
    </row>
    <row r="6" spans="1:24" ht="13.2" customHeight="1" x14ac:dyDescent="0.25">
      <c r="B6" s="801" t="s">
        <v>12</v>
      </c>
      <c r="C6" s="801"/>
      <c r="D6" s="801"/>
      <c r="E6" s="801"/>
      <c r="F6" s="801"/>
      <c r="G6" s="801"/>
      <c r="H6" s="801"/>
      <c r="I6" s="801"/>
      <c r="J6" s="801"/>
      <c r="K6" s="801"/>
      <c r="L6" s="801"/>
      <c r="M6" s="801"/>
      <c r="N6" s="801"/>
      <c r="Q6" s="209"/>
      <c r="R6" s="210"/>
      <c r="S6" s="209"/>
      <c r="T6" s="210"/>
      <c r="U6" s="146"/>
      <c r="V6" s="210"/>
      <c r="W6" s="145"/>
      <c r="X6" s="146"/>
    </row>
    <row r="7" spans="1:24" ht="13.2" customHeight="1" x14ac:dyDescent="0.25">
      <c r="B7" s="801" t="s">
        <v>248</v>
      </c>
      <c r="C7" s="801"/>
      <c r="D7" s="801"/>
      <c r="E7" s="801"/>
      <c r="F7" s="801"/>
      <c r="G7" s="801"/>
      <c r="H7" s="801"/>
      <c r="I7" s="801"/>
      <c r="J7" s="801"/>
      <c r="K7" s="801"/>
      <c r="L7" s="801"/>
      <c r="M7" s="801"/>
      <c r="N7" s="801"/>
      <c r="Q7" s="209"/>
      <c r="R7" s="210"/>
      <c r="S7" s="209"/>
      <c r="T7" s="210"/>
      <c r="U7" s="146"/>
      <c r="V7" s="210"/>
      <c r="W7" s="145"/>
      <c r="X7" s="146"/>
    </row>
    <row r="8" spans="1:24" ht="13.2" hidden="1" customHeight="1" x14ac:dyDescent="0.25">
      <c r="C8" s="147"/>
      <c r="D8" s="751"/>
      <c r="E8" s="147"/>
      <c r="G8" s="150"/>
      <c r="I8" s="150"/>
      <c r="Q8" s="209"/>
      <c r="R8" s="210"/>
      <c r="S8" s="209"/>
      <c r="T8" s="210"/>
      <c r="U8" s="146"/>
      <c r="V8" s="210"/>
      <c r="W8" s="145"/>
      <c r="X8" s="146"/>
    </row>
    <row r="9" spans="1:24" ht="13.2" hidden="1" customHeight="1" x14ac:dyDescent="0.25">
      <c r="D9" s="38"/>
      <c r="G9" s="150"/>
      <c r="I9" s="212"/>
      <c r="J9" s="752"/>
      <c r="K9" s="147"/>
      <c r="L9" s="147"/>
      <c r="Q9" s="209"/>
      <c r="R9" s="210"/>
      <c r="S9" s="209"/>
      <c r="T9" s="210"/>
      <c r="U9" s="146"/>
      <c r="V9" s="210"/>
      <c r="W9" s="152"/>
      <c r="X9" s="146"/>
    </row>
    <row r="10" spans="1:24" ht="13.2" hidden="1" customHeight="1" outlineLevel="1" x14ac:dyDescent="0.3">
      <c r="C10" s="153"/>
      <c r="D10" s="751"/>
      <c r="F10" s="151"/>
      <c r="M10" s="214"/>
      <c r="Q10" s="209"/>
      <c r="R10" s="210"/>
      <c r="S10" s="209"/>
      <c r="T10" s="210"/>
      <c r="U10" s="146"/>
      <c r="V10" s="210"/>
      <c r="W10" s="152"/>
      <c r="X10" s="146"/>
    </row>
    <row r="11" spans="1:24" ht="13.2" hidden="1" customHeight="1" x14ac:dyDescent="0.3">
      <c r="C11" s="153"/>
      <c r="D11" s="751"/>
      <c r="G11" s="151"/>
      <c r="H11" s="41"/>
      <c r="M11" s="214"/>
      <c r="Q11" s="209"/>
      <c r="R11" s="210"/>
      <c r="S11" s="209"/>
      <c r="T11" s="210"/>
      <c r="U11" s="146"/>
      <c r="V11" s="210"/>
      <c r="W11" s="152"/>
      <c r="X11" s="146"/>
    </row>
    <row r="12" spans="1:24" ht="13.2" customHeight="1" outlineLevel="1" x14ac:dyDescent="0.3">
      <c r="B12" s="203" t="s">
        <v>463</v>
      </c>
      <c r="C12" s="153"/>
      <c r="D12" s="751"/>
      <c r="F12" s="750" t="s">
        <v>334</v>
      </c>
      <c r="G12" s="151"/>
      <c r="H12" s="41"/>
      <c r="M12" s="206" t="s">
        <v>253</v>
      </c>
      <c r="N12" s="207">
        <v>0.4826388888888889</v>
      </c>
      <c r="Q12" s="209"/>
      <c r="R12" s="210"/>
      <c r="S12" s="209"/>
      <c r="T12" s="210"/>
      <c r="U12" s="146"/>
      <c r="V12" s="210"/>
      <c r="W12" s="145"/>
      <c r="X12" s="146"/>
    </row>
    <row r="13" spans="1:24" ht="13.2" customHeight="1" outlineLevel="1" x14ac:dyDescent="0.3">
      <c r="B13" s="41" t="s">
        <v>261</v>
      </c>
      <c r="C13" s="153"/>
      <c r="D13" s="751"/>
      <c r="G13" s="151"/>
      <c r="H13" s="41"/>
      <c r="M13" s="206" t="s">
        <v>254</v>
      </c>
      <c r="Q13" s="209"/>
      <c r="R13" s="210"/>
      <c r="S13" s="209"/>
      <c r="T13" s="210"/>
      <c r="U13" s="146"/>
      <c r="V13" s="210"/>
      <c r="W13" s="145"/>
      <c r="X13" s="146"/>
    </row>
    <row r="14" spans="1:24" s="750" customFormat="1" ht="13.2" customHeight="1" x14ac:dyDescent="0.25">
      <c r="A14" s="154"/>
      <c r="B14" s="154" t="s">
        <v>260</v>
      </c>
      <c r="C14" s="154" t="s">
        <v>20</v>
      </c>
      <c r="D14" s="154" t="s">
        <v>16</v>
      </c>
      <c r="E14" s="154" t="s">
        <v>0</v>
      </c>
      <c r="F14" s="215" t="s">
        <v>8</v>
      </c>
      <c r="G14" s="216">
        <v>1</v>
      </c>
      <c r="H14" s="215" t="s">
        <v>25</v>
      </c>
      <c r="I14" s="216">
        <v>2</v>
      </c>
      <c r="J14" s="215" t="s">
        <v>25</v>
      </c>
      <c r="K14" s="216">
        <v>3</v>
      </c>
      <c r="L14" s="215" t="s">
        <v>25</v>
      </c>
      <c r="M14" s="216" t="s">
        <v>19</v>
      </c>
      <c r="N14" s="154" t="s">
        <v>25</v>
      </c>
      <c r="O14" s="155"/>
      <c r="P14" s="157"/>
      <c r="Q14" s="217"/>
      <c r="R14" s="218"/>
      <c r="S14" s="217"/>
      <c r="T14" s="218"/>
      <c r="U14" s="152"/>
      <c r="V14" s="218"/>
      <c r="W14" s="152"/>
      <c r="X14" s="152"/>
    </row>
    <row r="15" spans="1:24" s="750" customFormat="1" ht="13.2" hidden="1" customHeight="1" x14ac:dyDescent="0.25">
      <c r="F15" s="750" t="s">
        <v>334</v>
      </c>
      <c r="O15" s="157"/>
      <c r="P15" s="157"/>
      <c r="Q15" s="217"/>
      <c r="R15" s="218"/>
      <c r="S15" s="217"/>
      <c r="T15" s="218"/>
      <c r="U15" s="152"/>
      <c r="V15" s="218"/>
      <c r="W15" s="152"/>
      <c r="X15" s="152"/>
    </row>
    <row r="16" spans="1:24" ht="15" customHeight="1" x14ac:dyDescent="0.3">
      <c r="A16" s="219"/>
      <c r="B16" s="220">
        <v>1</v>
      </c>
      <c r="C16" s="162">
        <v>41</v>
      </c>
      <c r="D16" s="221" t="s">
        <v>362</v>
      </c>
      <c r="E16" s="222" t="s">
        <v>363</v>
      </c>
      <c r="F16" s="331" t="s">
        <v>364</v>
      </c>
      <c r="G16" s="566">
        <v>5.86</v>
      </c>
      <c r="H16" s="567">
        <v>0</v>
      </c>
      <c r="I16" s="566" t="s">
        <v>464</v>
      </c>
      <c r="J16" s="567">
        <v>0</v>
      </c>
      <c r="K16" s="566" t="s">
        <v>464</v>
      </c>
      <c r="L16" s="567">
        <v>0</v>
      </c>
      <c r="M16" s="324">
        <v>5.86</v>
      </c>
      <c r="N16" s="359">
        <v>1</v>
      </c>
      <c r="O16" s="228"/>
      <c r="P16" s="157"/>
      <c r="Q16" s="209"/>
      <c r="R16" s="146"/>
      <c r="S16" s="209"/>
      <c r="T16" s="146"/>
      <c r="U16" s="209"/>
      <c r="V16" s="146"/>
      <c r="W16" s="229"/>
      <c r="X16" s="152"/>
    </row>
    <row r="17" spans="1:24" ht="15" customHeight="1" x14ac:dyDescent="0.3">
      <c r="A17" s="219"/>
      <c r="B17" s="220">
        <v>2</v>
      </c>
      <c r="C17" s="162">
        <v>37</v>
      </c>
      <c r="D17" s="221" t="s">
        <v>287</v>
      </c>
      <c r="E17" s="222" t="s">
        <v>288</v>
      </c>
      <c r="F17" s="331" t="s">
        <v>360</v>
      </c>
      <c r="G17" s="566">
        <v>6.86</v>
      </c>
      <c r="H17" s="567">
        <v>0.1</v>
      </c>
      <c r="I17" s="566" t="s">
        <v>464</v>
      </c>
      <c r="J17" s="567">
        <v>0</v>
      </c>
      <c r="K17" s="566" t="s">
        <v>464</v>
      </c>
      <c r="L17" s="567">
        <v>0</v>
      </c>
      <c r="M17" s="324">
        <v>6.86</v>
      </c>
      <c r="N17" s="359">
        <v>0.1</v>
      </c>
      <c r="O17" s="228"/>
      <c r="P17" s="157"/>
      <c r="Q17" s="209"/>
      <c r="R17" s="146"/>
      <c r="S17" s="209"/>
      <c r="T17" s="146"/>
      <c r="U17" s="209"/>
      <c r="V17" s="146"/>
      <c r="W17" s="229"/>
      <c r="X17" s="152"/>
    </row>
    <row r="18" spans="1:24" ht="15" customHeight="1" x14ac:dyDescent="0.3">
      <c r="A18" s="219"/>
      <c r="B18" s="220">
        <v>3</v>
      </c>
      <c r="C18" s="162">
        <v>81</v>
      </c>
      <c r="D18" s="221" t="s">
        <v>408</v>
      </c>
      <c r="E18" s="222" t="s">
        <v>409</v>
      </c>
      <c r="F18" s="331" t="s">
        <v>399</v>
      </c>
      <c r="G18" s="566">
        <v>7.22</v>
      </c>
      <c r="H18" s="567">
        <v>0.4</v>
      </c>
      <c r="I18" s="566" t="s">
        <v>464</v>
      </c>
      <c r="J18" s="567">
        <v>0</v>
      </c>
      <c r="K18" s="566" t="s">
        <v>464</v>
      </c>
      <c r="L18" s="567">
        <v>0</v>
      </c>
      <c r="M18" s="324">
        <v>7.22</v>
      </c>
      <c r="N18" s="359">
        <v>0.4</v>
      </c>
      <c r="O18" s="228"/>
      <c r="P18" s="157"/>
      <c r="Q18" s="209"/>
      <c r="R18" s="146"/>
      <c r="S18" s="209"/>
      <c r="T18" s="146"/>
      <c r="U18" s="209"/>
      <c r="V18" s="146"/>
      <c r="W18" s="229"/>
      <c r="X18" s="152"/>
    </row>
    <row r="19" spans="1:24" ht="15" customHeight="1" x14ac:dyDescent="0.3">
      <c r="A19" s="219"/>
      <c r="B19" s="220">
        <v>4</v>
      </c>
      <c r="C19" s="162">
        <v>100</v>
      </c>
      <c r="D19" s="221" t="s">
        <v>435</v>
      </c>
      <c r="E19" s="222" t="s">
        <v>436</v>
      </c>
      <c r="F19" s="331" t="s">
        <v>437</v>
      </c>
      <c r="G19" s="566">
        <v>6.79</v>
      </c>
      <c r="H19" s="567">
        <v>0</v>
      </c>
      <c r="I19" s="566" t="s">
        <v>464</v>
      </c>
      <c r="J19" s="567">
        <v>0</v>
      </c>
      <c r="K19" s="566" t="s">
        <v>464</v>
      </c>
      <c r="L19" s="567">
        <v>0</v>
      </c>
      <c r="M19" s="324">
        <v>6.79</v>
      </c>
      <c r="N19" s="359">
        <v>0</v>
      </c>
      <c r="O19" s="228"/>
      <c r="P19" s="157"/>
      <c r="Q19" s="209"/>
      <c r="R19" s="146"/>
      <c r="S19" s="209"/>
      <c r="T19" s="146"/>
      <c r="U19" s="209"/>
      <c r="V19" s="146"/>
      <c r="W19" s="229"/>
      <c r="X19" s="152"/>
    </row>
    <row r="20" spans="1:24" ht="15" customHeight="1" x14ac:dyDescent="0.3">
      <c r="A20" s="219"/>
      <c r="B20" s="220">
        <v>5</v>
      </c>
      <c r="C20" s="162">
        <v>2</v>
      </c>
      <c r="D20" s="221" t="s">
        <v>293</v>
      </c>
      <c r="E20" s="222" t="s">
        <v>294</v>
      </c>
      <c r="F20" s="331" t="s">
        <v>354</v>
      </c>
      <c r="G20" s="566">
        <v>7.16</v>
      </c>
      <c r="H20" s="567">
        <v>0.7</v>
      </c>
      <c r="I20" s="566" t="s">
        <v>464</v>
      </c>
      <c r="J20" s="567">
        <v>0</v>
      </c>
      <c r="K20" s="566" t="s">
        <v>464</v>
      </c>
      <c r="L20" s="567">
        <v>0</v>
      </c>
      <c r="M20" s="324">
        <v>7.16</v>
      </c>
      <c r="N20" s="359">
        <v>0.7</v>
      </c>
      <c r="O20" s="228"/>
      <c r="P20" s="157"/>
      <c r="Q20" s="209"/>
      <c r="R20" s="146"/>
      <c r="S20" s="209"/>
      <c r="T20" s="146"/>
      <c r="U20" s="209"/>
      <c r="V20" s="146"/>
      <c r="W20" s="229"/>
      <c r="X20" s="152"/>
    </row>
    <row r="21" spans="1:24" ht="15" customHeight="1" x14ac:dyDescent="0.3">
      <c r="A21" s="219"/>
      <c r="B21" s="220">
        <v>6</v>
      </c>
      <c r="C21" s="162">
        <v>22</v>
      </c>
      <c r="D21" s="221" t="s">
        <v>285</v>
      </c>
      <c r="E21" s="222" t="s">
        <v>286</v>
      </c>
      <c r="F21" s="331" t="s">
        <v>356</v>
      </c>
      <c r="G21" s="566">
        <v>6.12</v>
      </c>
      <c r="H21" s="567">
        <v>0</v>
      </c>
      <c r="I21" s="566" t="s">
        <v>464</v>
      </c>
      <c r="J21" s="567">
        <v>0</v>
      </c>
      <c r="K21" s="566" t="s">
        <v>464</v>
      </c>
      <c r="L21" s="567">
        <v>0</v>
      </c>
      <c r="M21" s="324">
        <v>6.12</v>
      </c>
      <c r="N21" s="359">
        <v>0</v>
      </c>
      <c r="O21" s="228"/>
      <c r="P21" s="157"/>
      <c r="Q21" s="209"/>
      <c r="R21" s="146"/>
      <c r="S21" s="209"/>
      <c r="T21" s="146"/>
      <c r="U21" s="209"/>
      <c r="V21" s="146"/>
      <c r="W21" s="229"/>
      <c r="X21" s="152"/>
    </row>
    <row r="22" spans="1:24" ht="15" customHeight="1" x14ac:dyDescent="0.3">
      <c r="A22" s="219"/>
      <c r="B22" s="220">
        <v>7</v>
      </c>
      <c r="C22" s="162">
        <v>113</v>
      </c>
      <c r="D22" s="221" t="s">
        <v>440</v>
      </c>
      <c r="E22" s="222" t="s">
        <v>441</v>
      </c>
      <c r="F22" s="331" t="s">
        <v>443</v>
      </c>
      <c r="G22" s="566">
        <v>6.62</v>
      </c>
      <c r="H22" s="567">
        <v>0</v>
      </c>
      <c r="I22" s="566" t="s">
        <v>464</v>
      </c>
      <c r="J22" s="567">
        <v>0</v>
      </c>
      <c r="K22" s="566" t="s">
        <v>464</v>
      </c>
      <c r="L22" s="567">
        <v>0</v>
      </c>
      <c r="M22" s="324">
        <v>6.62</v>
      </c>
      <c r="N22" s="359">
        <v>0</v>
      </c>
      <c r="O22" s="228"/>
      <c r="P22" s="157"/>
      <c r="Q22" s="209"/>
      <c r="R22" s="146"/>
      <c r="S22" s="209"/>
      <c r="T22" s="146"/>
      <c r="U22" s="209"/>
      <c r="V22" s="146"/>
      <c r="W22" s="229"/>
      <c r="X22" s="152"/>
    </row>
    <row r="23" spans="1:24" ht="15" customHeight="1" x14ac:dyDescent="0.3">
      <c r="A23" s="219"/>
      <c r="B23" s="220">
        <v>8</v>
      </c>
      <c r="C23" s="162">
        <v>98</v>
      </c>
      <c r="D23" s="221" t="s">
        <v>431</v>
      </c>
      <c r="E23" s="222" t="s">
        <v>432</v>
      </c>
      <c r="F23" s="223" t="s">
        <v>424</v>
      </c>
      <c r="G23" s="566">
        <v>6.24</v>
      </c>
      <c r="H23" s="567">
        <v>0.3</v>
      </c>
      <c r="I23" s="566" t="s">
        <v>464</v>
      </c>
      <c r="J23" s="567">
        <v>0</v>
      </c>
      <c r="K23" s="566" t="s">
        <v>464</v>
      </c>
      <c r="L23" s="567">
        <v>0</v>
      </c>
      <c r="M23" s="324">
        <v>6.24</v>
      </c>
      <c r="N23" s="359">
        <v>0.3</v>
      </c>
      <c r="O23" s="228"/>
      <c r="P23" s="157"/>
      <c r="Q23" s="209"/>
      <c r="R23" s="146"/>
      <c r="S23" s="209"/>
      <c r="T23" s="146"/>
      <c r="U23" s="209"/>
      <c r="V23" s="146"/>
      <c r="W23" s="229"/>
      <c r="X23" s="152"/>
    </row>
    <row r="24" spans="1:24" ht="15" customHeight="1" x14ac:dyDescent="0.3">
      <c r="A24" s="219"/>
      <c r="B24" s="220">
        <v>9</v>
      </c>
      <c r="C24" s="162">
        <v>75</v>
      </c>
      <c r="D24" s="221" t="s">
        <v>289</v>
      </c>
      <c r="E24" s="222" t="s">
        <v>290</v>
      </c>
      <c r="F24" s="223" t="s">
        <v>388</v>
      </c>
      <c r="G24" s="566">
        <v>6.98</v>
      </c>
      <c r="H24" s="567">
        <v>-0.6</v>
      </c>
      <c r="I24" s="566" t="s">
        <v>464</v>
      </c>
      <c r="J24" s="567">
        <v>0</v>
      </c>
      <c r="K24" s="566" t="s">
        <v>464</v>
      </c>
      <c r="L24" s="567">
        <v>0</v>
      </c>
      <c r="M24" s="324">
        <v>6.98</v>
      </c>
      <c r="N24" s="359">
        <v>-0.6</v>
      </c>
      <c r="O24" s="228"/>
      <c r="P24" s="157"/>
      <c r="Q24" s="209"/>
      <c r="R24" s="146"/>
      <c r="S24" s="209"/>
      <c r="T24" s="146"/>
      <c r="U24" s="209"/>
      <c r="V24" s="146"/>
      <c r="W24" s="229"/>
      <c r="X24" s="152"/>
    </row>
    <row r="25" spans="1:24" ht="15" customHeight="1" x14ac:dyDescent="0.3">
      <c r="A25" s="219"/>
      <c r="B25" s="220">
        <v>10</v>
      </c>
      <c r="C25" s="162">
        <v>76</v>
      </c>
      <c r="D25" s="221" t="s">
        <v>414</v>
      </c>
      <c r="E25" s="222" t="s">
        <v>415</v>
      </c>
      <c r="F25" s="223" t="s">
        <v>417</v>
      </c>
      <c r="G25" s="566">
        <v>6.35</v>
      </c>
      <c r="H25" s="567">
        <v>0</v>
      </c>
      <c r="I25" s="566" t="s">
        <v>464</v>
      </c>
      <c r="J25" s="567">
        <v>0</v>
      </c>
      <c r="K25" s="566" t="s">
        <v>464</v>
      </c>
      <c r="L25" s="567">
        <v>0</v>
      </c>
      <c r="M25" s="324">
        <v>6.35</v>
      </c>
      <c r="N25" s="359">
        <v>1.6</v>
      </c>
      <c r="O25" s="228"/>
      <c r="P25" s="157"/>
      <c r="Q25" s="209"/>
      <c r="R25" s="146"/>
      <c r="S25" s="209"/>
      <c r="T25" s="146"/>
      <c r="U25" s="209"/>
      <c r="V25" s="146"/>
      <c r="W25" s="229"/>
      <c r="X25" s="152"/>
    </row>
    <row r="26" spans="1:24" ht="13.8" x14ac:dyDescent="0.3">
      <c r="A26" s="219"/>
      <c r="B26" s="220">
        <v>11</v>
      </c>
      <c r="C26" s="162">
        <v>115</v>
      </c>
      <c r="D26" s="221" t="s">
        <v>450</v>
      </c>
      <c r="E26" s="222" t="s">
        <v>451</v>
      </c>
      <c r="F26" s="223" t="s">
        <v>448</v>
      </c>
      <c r="G26" s="566">
        <v>6.14</v>
      </c>
      <c r="H26" s="567">
        <v>0</v>
      </c>
      <c r="I26" s="566" t="s">
        <v>464</v>
      </c>
      <c r="J26" s="567">
        <v>0</v>
      </c>
      <c r="K26" s="566" t="s">
        <v>464</v>
      </c>
      <c r="L26" s="567">
        <v>0</v>
      </c>
      <c r="M26" s="324">
        <v>6.14</v>
      </c>
      <c r="N26" s="359">
        <v>0</v>
      </c>
      <c r="O26" s="228"/>
      <c r="Q26" s="209"/>
      <c r="R26" s="146"/>
      <c r="S26" s="209"/>
      <c r="T26" s="146"/>
      <c r="U26" s="209"/>
      <c r="V26" s="146"/>
      <c r="W26" s="229"/>
      <c r="X26" s="152"/>
    </row>
    <row r="27" spans="1:24" ht="15" customHeight="1" x14ac:dyDescent="0.3">
      <c r="A27" s="219"/>
      <c r="B27" s="220">
        <v>12</v>
      </c>
      <c r="C27" s="162">
        <v>114</v>
      </c>
      <c r="D27" s="221" t="s">
        <v>446</v>
      </c>
      <c r="E27" s="222" t="s">
        <v>447</v>
      </c>
      <c r="F27" s="223" t="s">
        <v>448</v>
      </c>
      <c r="G27" s="566">
        <v>6.57</v>
      </c>
      <c r="H27" s="567">
        <v>0</v>
      </c>
      <c r="I27" s="566" t="s">
        <v>464</v>
      </c>
      <c r="J27" s="567">
        <v>0</v>
      </c>
      <c r="K27" s="566" t="s">
        <v>464</v>
      </c>
      <c r="L27" s="567">
        <v>0</v>
      </c>
      <c r="M27" s="324">
        <v>6.57</v>
      </c>
      <c r="N27" s="359">
        <v>-1.2</v>
      </c>
      <c r="O27" s="228"/>
      <c r="P27" s="157"/>
      <c r="Q27" s="209"/>
      <c r="R27" s="146"/>
      <c r="S27" s="209"/>
      <c r="T27" s="146"/>
      <c r="U27" s="209"/>
      <c r="V27" s="146"/>
      <c r="W27" s="229"/>
      <c r="X27" s="152"/>
    </row>
    <row r="28" spans="1:24" ht="15" customHeight="1" x14ac:dyDescent="0.3">
      <c r="A28" s="219"/>
      <c r="B28" s="220">
        <v>13</v>
      </c>
      <c r="C28" s="162">
        <v>79</v>
      </c>
      <c r="D28" s="221" t="s">
        <v>291</v>
      </c>
      <c r="E28" s="222" t="s">
        <v>292</v>
      </c>
      <c r="F28" s="223" t="s">
        <v>394</v>
      </c>
      <c r="G28" s="566">
        <v>7.04</v>
      </c>
      <c r="H28" s="567">
        <v>0</v>
      </c>
      <c r="I28" s="566" t="s">
        <v>464</v>
      </c>
      <c r="J28" s="567">
        <v>0</v>
      </c>
      <c r="K28" s="566" t="s">
        <v>464</v>
      </c>
      <c r="L28" s="567">
        <v>0</v>
      </c>
      <c r="M28" s="324">
        <v>7.04</v>
      </c>
      <c r="N28" s="359">
        <v>0</v>
      </c>
      <c r="O28" s="228"/>
      <c r="Q28" s="209"/>
      <c r="R28" s="146"/>
      <c r="S28" s="209"/>
      <c r="T28" s="146"/>
      <c r="U28" s="209"/>
      <c r="V28" s="146"/>
      <c r="W28" s="229"/>
      <c r="X28" s="152"/>
    </row>
    <row r="29" spans="1:24" ht="15" customHeight="1" x14ac:dyDescent="0.3">
      <c r="A29" s="219"/>
      <c r="B29" s="220">
        <v>14</v>
      </c>
      <c r="C29" s="162">
        <v>74</v>
      </c>
      <c r="D29" s="221" t="s">
        <v>283</v>
      </c>
      <c r="E29" s="222" t="s">
        <v>284</v>
      </c>
      <c r="F29" s="223" t="s">
        <v>386</v>
      </c>
      <c r="G29" s="566">
        <v>6.77</v>
      </c>
      <c r="H29" s="567">
        <v>0.1</v>
      </c>
      <c r="I29" s="566" t="s">
        <v>464</v>
      </c>
      <c r="J29" s="567">
        <v>0</v>
      </c>
      <c r="K29" s="566" t="s">
        <v>464</v>
      </c>
      <c r="L29" s="567">
        <v>0</v>
      </c>
      <c r="M29" s="324">
        <v>6.77</v>
      </c>
      <c r="N29" s="359">
        <v>0.1</v>
      </c>
      <c r="O29" s="228"/>
      <c r="P29" s="157"/>
      <c r="Q29" s="209"/>
      <c r="R29" s="146"/>
      <c r="S29" s="209"/>
      <c r="T29" s="146"/>
      <c r="U29" s="209"/>
      <c r="V29" s="146"/>
      <c r="W29" s="229"/>
      <c r="X29" s="152"/>
    </row>
    <row r="30" spans="1:24" ht="15" customHeight="1" x14ac:dyDescent="0.3">
      <c r="A30" s="219"/>
      <c r="B30" s="220">
        <v>15</v>
      </c>
      <c r="C30" s="162">
        <v>39</v>
      </c>
      <c r="D30" s="221" t="s">
        <v>367</v>
      </c>
      <c r="E30" s="222" t="s">
        <v>368</v>
      </c>
      <c r="F30" s="223" t="s">
        <v>364</v>
      </c>
      <c r="G30" s="566">
        <v>7.05</v>
      </c>
      <c r="H30" s="567">
        <v>0</v>
      </c>
      <c r="I30" s="566" t="s">
        <v>464</v>
      </c>
      <c r="J30" s="567">
        <v>0</v>
      </c>
      <c r="K30" s="566" t="s">
        <v>464</v>
      </c>
      <c r="L30" s="567">
        <v>0</v>
      </c>
      <c r="M30" s="324">
        <v>7.05</v>
      </c>
      <c r="N30" s="359">
        <v>0</v>
      </c>
      <c r="O30" s="228"/>
      <c r="Q30" s="209"/>
      <c r="R30" s="146"/>
      <c r="S30" s="209"/>
      <c r="T30" s="146"/>
      <c r="U30" s="209"/>
      <c r="V30" s="146"/>
      <c r="W30" s="229"/>
      <c r="X30" s="152"/>
    </row>
    <row r="31" spans="1:24" ht="15" customHeight="1" x14ac:dyDescent="0.3">
      <c r="A31" s="219"/>
      <c r="B31" s="220">
        <v>16</v>
      </c>
      <c r="C31" s="162">
        <v>36</v>
      </c>
      <c r="D31" s="221" t="s">
        <v>281</v>
      </c>
      <c r="E31" s="222" t="s">
        <v>282</v>
      </c>
      <c r="F31" s="223" t="s">
        <v>358</v>
      </c>
      <c r="G31" s="566">
        <v>7.02</v>
      </c>
      <c r="H31" s="567">
        <v>0.4</v>
      </c>
      <c r="I31" s="566" t="s">
        <v>464</v>
      </c>
      <c r="J31" s="567">
        <v>0</v>
      </c>
      <c r="K31" s="566" t="s">
        <v>464</v>
      </c>
      <c r="L31" s="567">
        <v>0</v>
      </c>
      <c r="M31" s="324">
        <v>7.02</v>
      </c>
      <c r="N31" s="359">
        <v>0.4</v>
      </c>
      <c r="O31" s="228"/>
      <c r="P31" s="157"/>
      <c r="Q31" s="209"/>
      <c r="R31" s="146"/>
      <c r="S31" s="209"/>
      <c r="T31" s="146"/>
      <c r="U31" s="209"/>
      <c r="V31" s="146"/>
      <c r="W31" s="229"/>
      <c r="X31" s="152"/>
    </row>
    <row r="32" spans="1:24" ht="13.2" hidden="1" customHeight="1" x14ac:dyDescent="0.3">
      <c r="A32" s="219"/>
      <c r="B32" s="220"/>
      <c r="C32" s="162"/>
      <c r="D32" s="221" t="e">
        <v>#N/A</v>
      </c>
      <c r="E32" s="222" t="e">
        <v>#N/A</v>
      </c>
      <c r="F32" s="223" t="e">
        <v>#N/A</v>
      </c>
      <c r="G32" s="566">
        <v>6.61</v>
      </c>
      <c r="H32" s="567">
        <v>0</v>
      </c>
      <c r="I32" s="566" t="s">
        <v>464</v>
      </c>
      <c r="J32" s="567">
        <v>0</v>
      </c>
      <c r="K32" s="566" t="s">
        <v>464</v>
      </c>
      <c r="L32" s="567">
        <v>0</v>
      </c>
      <c r="M32" s="324">
        <v>6.61</v>
      </c>
      <c r="N32" s="359">
        <v>1.3</v>
      </c>
      <c r="O32" s="228"/>
      <c r="P32" s="157"/>
      <c r="Q32" s="209"/>
      <c r="R32" s="146"/>
      <c r="S32" s="209"/>
      <c r="T32" s="146"/>
      <c r="U32" s="209"/>
      <c r="V32" s="146"/>
      <c r="W32" s="229"/>
      <c r="X32" s="152"/>
    </row>
    <row r="33" spans="1:24" ht="13.2" hidden="1" customHeight="1" x14ac:dyDescent="0.3">
      <c r="A33" s="219"/>
      <c r="B33" s="220"/>
      <c r="C33" s="162"/>
      <c r="D33" s="221" t="e">
        <v>#N/A</v>
      </c>
      <c r="E33" s="222" t="e">
        <v>#N/A</v>
      </c>
      <c r="F33" s="223" t="e">
        <v>#N/A</v>
      </c>
      <c r="G33" s="566">
        <v>6.95</v>
      </c>
      <c r="H33" s="567">
        <v>0</v>
      </c>
      <c r="I33" s="566" t="s">
        <v>464</v>
      </c>
      <c r="J33" s="567">
        <v>0</v>
      </c>
      <c r="K33" s="566" t="s">
        <v>464</v>
      </c>
      <c r="L33" s="567">
        <v>0</v>
      </c>
      <c r="M33" s="324">
        <v>6.95</v>
      </c>
      <c r="N33" s="359">
        <v>1</v>
      </c>
      <c r="O33" s="228"/>
      <c r="P33" s="157"/>
      <c r="Q33" s="209"/>
      <c r="R33" s="146"/>
      <c r="S33" s="209"/>
      <c r="T33" s="146"/>
      <c r="U33" s="209"/>
      <c r="V33" s="146"/>
      <c r="W33" s="229"/>
      <c r="X33" s="152"/>
    </row>
    <row r="34" spans="1:24" ht="13.2" hidden="1" customHeight="1" x14ac:dyDescent="0.3">
      <c r="A34" s="219"/>
      <c r="B34" s="220"/>
      <c r="C34" s="304"/>
      <c r="D34" s="221" t="e">
        <v>#N/A</v>
      </c>
      <c r="E34" s="222" t="e">
        <v>#N/A</v>
      </c>
      <c r="F34" s="223" t="e">
        <v>#N/A</v>
      </c>
      <c r="G34" s="566">
        <v>6.53</v>
      </c>
      <c r="H34" s="567">
        <v>0</v>
      </c>
      <c r="I34" s="566" t="s">
        <v>464</v>
      </c>
      <c r="J34" s="567">
        <v>0</v>
      </c>
      <c r="K34" s="566" t="s">
        <v>464</v>
      </c>
      <c r="L34" s="567">
        <v>0</v>
      </c>
      <c r="M34" s="324">
        <v>6.53</v>
      </c>
      <c r="N34" s="359">
        <v>0.6</v>
      </c>
      <c r="O34" s="228"/>
      <c r="P34" s="157"/>
      <c r="Q34" s="209"/>
      <c r="R34" s="146"/>
      <c r="S34" s="209"/>
      <c r="T34" s="146"/>
      <c r="U34" s="209"/>
      <c r="V34" s="146"/>
      <c r="W34" s="229"/>
      <c r="X34" s="152"/>
    </row>
    <row r="35" spans="1:24" ht="13.2" hidden="1" customHeight="1" x14ac:dyDescent="0.3">
      <c r="A35" s="219"/>
      <c r="B35" s="220"/>
      <c r="C35" s="197"/>
      <c r="D35" s="221" t="e">
        <v>#N/A</v>
      </c>
      <c r="E35" s="222" t="e">
        <v>#N/A</v>
      </c>
      <c r="F35" s="223" t="e">
        <v>#N/A</v>
      </c>
      <c r="G35" s="566">
        <v>6.66</v>
      </c>
      <c r="H35" s="567">
        <v>0</v>
      </c>
      <c r="I35" s="566" t="s">
        <v>464</v>
      </c>
      <c r="J35" s="567">
        <v>0</v>
      </c>
      <c r="K35" s="566" t="s">
        <v>464</v>
      </c>
      <c r="L35" s="567">
        <v>0</v>
      </c>
      <c r="M35" s="324">
        <v>6.66</v>
      </c>
      <c r="N35" s="359">
        <v>1.5</v>
      </c>
      <c r="O35" s="228"/>
      <c r="P35" s="157"/>
      <c r="Q35" s="209"/>
      <c r="R35" s="146"/>
      <c r="S35" s="209"/>
      <c r="T35" s="146"/>
      <c r="U35" s="209"/>
      <c r="V35" s="146"/>
      <c r="W35" s="229"/>
      <c r="X35" s="152"/>
    </row>
    <row r="36" spans="1:24" ht="13.2" hidden="1" customHeight="1" x14ac:dyDescent="0.3">
      <c r="A36" s="219"/>
      <c r="B36" s="220"/>
      <c r="C36" s="162"/>
      <c r="D36" s="221" t="e">
        <v>#N/A</v>
      </c>
      <c r="E36" s="222" t="e">
        <v>#N/A</v>
      </c>
      <c r="F36" s="223" t="e">
        <v>#N/A</v>
      </c>
      <c r="G36" s="566">
        <v>6.53</v>
      </c>
      <c r="H36" s="567">
        <v>0</v>
      </c>
      <c r="I36" s="566" t="s">
        <v>464</v>
      </c>
      <c r="J36" s="567">
        <v>0</v>
      </c>
      <c r="K36" s="566" t="s">
        <v>464</v>
      </c>
      <c r="L36" s="567">
        <v>0</v>
      </c>
      <c r="M36" s="324">
        <v>6.53</v>
      </c>
      <c r="N36" s="359">
        <v>1.7</v>
      </c>
      <c r="O36" s="228"/>
      <c r="P36" s="157"/>
      <c r="Q36" s="209"/>
      <c r="R36" s="146"/>
      <c r="S36" s="209"/>
      <c r="T36" s="146"/>
      <c r="U36" s="209"/>
      <c r="V36" s="146"/>
      <c r="W36" s="229"/>
      <c r="X36" s="152"/>
    </row>
    <row r="37" spans="1:24" ht="13.2" hidden="1" customHeight="1" x14ac:dyDescent="0.3">
      <c r="A37" s="219"/>
      <c r="B37" s="220"/>
      <c r="C37" s="162"/>
      <c r="D37" s="221" t="e">
        <v>#N/A</v>
      </c>
      <c r="E37" s="222" t="e">
        <v>#N/A</v>
      </c>
      <c r="F37" s="223" t="e">
        <v>#N/A</v>
      </c>
      <c r="G37" s="566">
        <v>6.44</v>
      </c>
      <c r="H37" s="567">
        <v>0</v>
      </c>
      <c r="I37" s="566" t="s">
        <v>464</v>
      </c>
      <c r="J37" s="567">
        <v>0</v>
      </c>
      <c r="K37" s="566" t="s">
        <v>464</v>
      </c>
      <c r="L37" s="567">
        <v>0</v>
      </c>
      <c r="M37" s="324">
        <v>6.44</v>
      </c>
      <c r="N37" s="359">
        <v>1.8</v>
      </c>
      <c r="O37" s="228"/>
      <c r="P37" s="157"/>
      <c r="Q37" s="209"/>
      <c r="R37" s="146"/>
      <c r="S37" s="209"/>
      <c r="T37" s="146"/>
      <c r="U37" s="209"/>
      <c r="V37" s="146"/>
      <c r="W37" s="229"/>
      <c r="X37" s="152"/>
    </row>
    <row r="38" spans="1:24" ht="13.2" customHeight="1" x14ac:dyDescent="0.3">
      <c r="A38" s="219"/>
      <c r="B38" s="753"/>
      <c r="C38" s="549"/>
      <c r="D38" s="576"/>
      <c r="E38" s="577"/>
      <c r="F38" s="578"/>
      <c r="G38" s="579"/>
      <c r="H38" s="580"/>
      <c r="I38" s="579"/>
      <c r="J38" s="580"/>
      <c r="K38" s="579"/>
      <c r="L38" s="580"/>
      <c r="M38" s="581"/>
      <c r="N38" s="582"/>
      <c r="O38" s="228"/>
      <c r="P38" s="157"/>
      <c r="Q38" s="209"/>
      <c r="R38" s="146"/>
      <c r="S38" s="209"/>
      <c r="T38" s="146"/>
      <c r="U38" s="209"/>
      <c r="V38" s="146"/>
      <c r="W38" s="229"/>
      <c r="X38" s="152"/>
    </row>
    <row r="39" spans="1:24" ht="16.05" customHeight="1" x14ac:dyDescent="0.3">
      <c r="A39" s="219"/>
      <c r="B39" s="557" t="s">
        <v>325</v>
      </c>
      <c r="C39" s="549"/>
      <c r="D39" s="576"/>
      <c r="E39" s="577"/>
      <c r="F39" s="578"/>
      <c r="G39" s="579"/>
      <c r="H39" s="580"/>
      <c r="I39" s="579"/>
      <c r="J39" s="580"/>
      <c r="K39" s="579"/>
      <c r="L39" s="580"/>
      <c r="M39" s="581"/>
      <c r="N39" s="582"/>
      <c r="O39" s="228"/>
      <c r="P39" s="157"/>
      <c r="Q39" s="209"/>
      <c r="R39" s="146"/>
      <c r="S39" s="209"/>
      <c r="T39" s="146"/>
      <c r="U39" s="209"/>
      <c r="V39" s="146"/>
      <c r="W39" s="229"/>
      <c r="X39" s="152"/>
    </row>
    <row r="40" spans="1:24" ht="16.05" customHeight="1" x14ac:dyDescent="0.3">
      <c r="A40" s="219"/>
      <c r="B40" s="557" t="s">
        <v>332</v>
      </c>
      <c r="C40" s="549"/>
      <c r="D40" s="576"/>
      <c r="E40" s="577"/>
      <c r="F40" s="578"/>
      <c r="G40" s="579"/>
      <c r="H40" s="580"/>
      <c r="I40" s="579"/>
      <c r="J40" s="580"/>
      <c r="K40" s="579"/>
      <c r="L40" s="580"/>
      <c r="M40" s="581"/>
      <c r="N40" s="582"/>
      <c r="O40" s="228"/>
      <c r="P40" s="157"/>
      <c r="Q40" s="209"/>
      <c r="R40" s="146"/>
      <c r="S40" s="209"/>
      <c r="T40" s="146"/>
      <c r="U40" s="209"/>
      <c r="V40" s="146"/>
      <c r="W40" s="229"/>
      <c r="X40" s="152"/>
    </row>
    <row r="41" spans="1:24" ht="16.05" customHeight="1" x14ac:dyDescent="0.3">
      <c r="A41" s="219"/>
      <c r="B41" s="557" t="s">
        <v>333</v>
      </c>
      <c r="C41" s="549"/>
      <c r="D41" s="576"/>
      <c r="E41" s="577"/>
      <c r="F41" s="578"/>
      <c r="G41" s="579"/>
      <c r="H41" s="580"/>
      <c r="I41" s="579"/>
      <c r="J41" s="580"/>
      <c r="K41" s="579"/>
      <c r="L41" s="580"/>
      <c r="M41" s="581"/>
      <c r="N41" s="582"/>
      <c r="O41" s="228"/>
      <c r="P41" s="157"/>
      <c r="Q41" s="209"/>
      <c r="R41" s="146"/>
      <c r="S41" s="209"/>
      <c r="T41" s="146"/>
      <c r="U41" s="209"/>
      <c r="V41" s="146"/>
      <c r="W41" s="229"/>
      <c r="X41" s="152"/>
    </row>
    <row r="42" spans="1:24" ht="13.8" x14ac:dyDescent="0.3">
      <c r="B42" s="751"/>
      <c r="C42" s="231"/>
      <c r="E42" s="232"/>
      <c r="F42" s="233"/>
      <c r="G42" s="234"/>
      <c r="H42" s="235"/>
      <c r="I42" s="234"/>
      <c r="J42" s="235"/>
      <c r="K42" s="234"/>
      <c r="L42" s="235"/>
      <c r="M42" s="236"/>
      <c r="N42" s="237"/>
      <c r="O42" s="157"/>
    </row>
    <row r="44" spans="1:24" x14ac:dyDescent="0.25">
      <c r="C44" s="239">
        <v>459</v>
      </c>
      <c r="D44" s="41">
        <f t="shared" ref="D44:D72" ca="1" si="0">RAND()</f>
        <v>0.96477739323748746</v>
      </c>
    </row>
    <row r="45" spans="1:24" x14ac:dyDescent="0.25">
      <c r="C45" s="240">
        <v>506</v>
      </c>
      <c r="D45" s="41">
        <f t="shared" ca="1" si="0"/>
        <v>0.56981830536711686</v>
      </c>
    </row>
    <row r="46" spans="1:24" x14ac:dyDescent="0.25">
      <c r="C46" s="239">
        <v>460</v>
      </c>
      <c r="D46" s="41">
        <f t="shared" ca="1" si="0"/>
        <v>0.73048066839877945</v>
      </c>
    </row>
    <row r="47" spans="1:24" x14ac:dyDescent="0.25">
      <c r="C47" s="240">
        <v>449</v>
      </c>
      <c r="D47" s="41">
        <f t="shared" ca="1" si="0"/>
        <v>0.84549909078113183</v>
      </c>
    </row>
    <row r="48" spans="1:24" x14ac:dyDescent="0.25">
      <c r="C48" s="240">
        <v>103</v>
      </c>
      <c r="D48" s="41">
        <f t="shared" ca="1" si="0"/>
        <v>0.49397415389137045</v>
      </c>
    </row>
    <row r="49" spans="3:4" x14ac:dyDescent="0.25">
      <c r="C49" s="239">
        <v>452</v>
      </c>
      <c r="D49" s="41">
        <f t="shared" ca="1" si="0"/>
        <v>0.95420601107488656</v>
      </c>
    </row>
    <row r="50" spans="3:4" x14ac:dyDescent="0.25">
      <c r="C50" s="239">
        <v>455</v>
      </c>
      <c r="D50" s="41">
        <f t="shared" ca="1" si="0"/>
        <v>0.73223063368670616</v>
      </c>
    </row>
    <row r="51" spans="3:4" x14ac:dyDescent="0.25">
      <c r="C51" s="240">
        <v>319</v>
      </c>
      <c r="D51" s="41">
        <f t="shared" ca="1" si="0"/>
        <v>0.64349378031157323</v>
      </c>
    </row>
    <row r="52" spans="3:4" x14ac:dyDescent="0.25">
      <c r="C52" s="239">
        <v>315</v>
      </c>
      <c r="D52" s="41">
        <f t="shared" ca="1" si="0"/>
        <v>0.76600577525970559</v>
      </c>
    </row>
    <row r="53" spans="3:4" x14ac:dyDescent="0.25">
      <c r="C53" s="239">
        <v>180</v>
      </c>
      <c r="D53" s="41">
        <f t="shared" ca="1" si="0"/>
        <v>0.14946126748847022</v>
      </c>
    </row>
    <row r="54" spans="3:4" x14ac:dyDescent="0.25">
      <c r="C54" s="240">
        <v>316</v>
      </c>
      <c r="D54" s="41">
        <f t="shared" ca="1" si="0"/>
        <v>0.66018344240252047</v>
      </c>
    </row>
    <row r="55" spans="3:4" x14ac:dyDescent="0.25">
      <c r="C55" s="240">
        <v>99</v>
      </c>
      <c r="D55" s="41">
        <f t="shared" ca="1" si="0"/>
        <v>0.41849903248407294</v>
      </c>
    </row>
    <row r="56" spans="3:4" x14ac:dyDescent="0.25">
      <c r="C56" s="239">
        <v>52</v>
      </c>
      <c r="D56" s="41">
        <f t="shared" ca="1" si="0"/>
        <v>0.1352939054961495</v>
      </c>
    </row>
    <row r="57" spans="3:4" x14ac:dyDescent="0.25">
      <c r="C57" s="241">
        <v>55</v>
      </c>
      <c r="D57" s="41">
        <f t="shared" ca="1" si="0"/>
        <v>0.93959959428508144</v>
      </c>
    </row>
    <row r="58" spans="3:4" x14ac:dyDescent="0.25">
      <c r="C58" s="239">
        <v>334</v>
      </c>
      <c r="D58" s="41">
        <f t="shared" ca="1" si="0"/>
        <v>0.31058266999829753</v>
      </c>
    </row>
    <row r="59" spans="3:4" x14ac:dyDescent="0.25">
      <c r="C59" s="239">
        <v>63</v>
      </c>
      <c r="D59" s="41">
        <f t="shared" ca="1" si="0"/>
        <v>0.89790939551350035</v>
      </c>
    </row>
    <row r="60" spans="3:4" x14ac:dyDescent="0.25">
      <c r="C60" s="239">
        <v>462</v>
      </c>
      <c r="D60" s="41">
        <f t="shared" ca="1" si="0"/>
        <v>0.88394988798920693</v>
      </c>
    </row>
    <row r="61" spans="3:4" x14ac:dyDescent="0.25">
      <c r="C61" s="242">
        <v>101</v>
      </c>
      <c r="D61" s="41">
        <f t="shared" ca="1" si="0"/>
        <v>0.49971232817125999</v>
      </c>
    </row>
    <row r="62" spans="3:4" x14ac:dyDescent="0.25">
      <c r="C62" s="239">
        <v>54</v>
      </c>
      <c r="D62" s="41">
        <f t="shared" ca="1" si="0"/>
        <v>0.84207937735815108</v>
      </c>
    </row>
    <row r="63" spans="3:4" x14ac:dyDescent="0.25">
      <c r="C63" s="239">
        <v>162</v>
      </c>
      <c r="D63" s="41">
        <f t="shared" ca="1" si="0"/>
        <v>0.28122158695768462</v>
      </c>
    </row>
    <row r="64" spans="3:4" x14ac:dyDescent="0.25">
      <c r="C64" s="239">
        <v>96</v>
      </c>
      <c r="D64" s="41">
        <f t="shared" ca="1" si="0"/>
        <v>0.56400792778235787</v>
      </c>
    </row>
    <row r="65" spans="3:4" x14ac:dyDescent="0.25">
      <c r="C65" s="240">
        <v>505</v>
      </c>
      <c r="D65" s="41">
        <f t="shared" ca="1" si="0"/>
        <v>0.75837467659931401</v>
      </c>
    </row>
    <row r="66" spans="3:4" x14ac:dyDescent="0.25">
      <c r="C66" s="240">
        <v>97</v>
      </c>
      <c r="D66" s="41">
        <f t="shared" ca="1" si="0"/>
        <v>0.1432473430809249</v>
      </c>
    </row>
    <row r="67" spans="3:4" x14ac:dyDescent="0.25">
      <c r="C67" s="200"/>
      <c r="D67" s="41">
        <f t="shared" ca="1" si="0"/>
        <v>3.4942960482042262E-2</v>
      </c>
    </row>
    <row r="68" spans="3:4" x14ac:dyDescent="0.25">
      <c r="C68" s="200"/>
      <c r="D68" s="41">
        <f t="shared" ca="1" si="0"/>
        <v>8.2898846080990296E-2</v>
      </c>
    </row>
    <row r="69" spans="3:4" x14ac:dyDescent="0.25">
      <c r="C69" s="200"/>
      <c r="D69" s="41">
        <f t="shared" ca="1" si="0"/>
        <v>7.5946775043049919E-2</v>
      </c>
    </row>
    <row r="70" spans="3:4" x14ac:dyDescent="0.25">
      <c r="C70" s="200"/>
      <c r="D70" s="41">
        <f t="shared" ca="1" si="0"/>
        <v>0.21527758995629198</v>
      </c>
    </row>
    <row r="71" spans="3:4" x14ac:dyDescent="0.25">
      <c r="C71" s="200"/>
      <c r="D71" s="41">
        <f t="shared" ca="1" si="0"/>
        <v>0.68985120960687329</v>
      </c>
    </row>
    <row r="72" spans="3:4" x14ac:dyDescent="0.25">
      <c r="C72" s="200"/>
      <c r="D72" s="41">
        <f t="shared" ca="1" si="0"/>
        <v>0.79797448527225001</v>
      </c>
    </row>
  </sheetData>
  <sortState ref="A16:AN31">
    <sortCondition ref="A16:A31"/>
  </sortState>
  <mergeCells count="7">
    <mergeCell ref="B7:N7"/>
    <mergeCell ref="B1:N1"/>
    <mergeCell ref="B2:N2"/>
    <mergeCell ref="B3:N3"/>
    <mergeCell ref="B4:N4"/>
    <mergeCell ref="B5:N5"/>
    <mergeCell ref="B6:N6"/>
  </mergeCells>
  <pageMargins left="0.28000000000000003" right="0.24" top="0.3" bottom="0.31" header="0.2" footer="0.18"/>
  <pageSetup paperSize="9" scale="115" orientation="landscape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0"/>
  <sheetViews>
    <sheetView view="pageBreakPreview" zoomScale="90" zoomScaleSheetLayoutView="90" workbookViewId="0">
      <selection activeCell="H38" sqref="H38"/>
    </sheetView>
  </sheetViews>
  <sheetFormatPr defaultColWidth="9.109375" defaultRowHeight="13.2" outlineLevelRow="1" outlineLevelCol="1" x14ac:dyDescent="0.25"/>
  <cols>
    <col min="1" max="1" width="11.44140625" style="41" customWidth="1" outlineLevel="1"/>
    <col min="2" max="2" width="6" style="41" customWidth="1"/>
    <col min="3" max="3" width="5.44140625" style="564" customWidth="1"/>
    <col min="4" max="4" width="22.33203125" style="41" customWidth="1"/>
    <col min="5" max="5" width="11.44140625" style="564" customWidth="1" outlineLevel="1"/>
    <col min="6" max="6" width="20" style="41" customWidth="1" outlineLevel="1"/>
    <col min="7" max="10" width="7.6640625" style="564" customWidth="1" outlineLevel="1"/>
    <col min="11" max="12" width="7.6640625" style="41" customWidth="1" outlineLevel="1"/>
    <col min="13" max="13" width="9.6640625" style="41" customWidth="1"/>
    <col min="14" max="14" width="7.6640625" style="41" customWidth="1"/>
    <col min="15" max="15" width="7.6640625" style="149" customWidth="1"/>
    <col min="16" max="16" width="5.6640625" style="149" customWidth="1"/>
    <col min="17" max="17" width="4.6640625" style="205" customWidth="1" outlineLevel="1"/>
    <col min="18" max="18" width="4.6640625" style="238" customWidth="1" outlineLevel="1"/>
    <col min="19" max="19" width="4.6640625" style="205" customWidth="1" outlineLevel="1"/>
    <col min="20" max="20" width="4.33203125" style="238" customWidth="1" outlineLevel="1"/>
    <col min="21" max="21" width="4.6640625" style="564" customWidth="1" outlineLevel="1"/>
    <col min="22" max="22" width="4.6640625" style="238" customWidth="1" outlineLevel="1"/>
    <col min="23" max="23" width="8" style="41" bestFit="1" customWidth="1" outlineLevel="1"/>
    <col min="24" max="24" width="9.109375" style="564" outlineLevel="1"/>
    <col min="25" max="16384" width="9.109375" style="41"/>
  </cols>
  <sheetData>
    <row r="1" spans="1:24" ht="13.2" customHeight="1" x14ac:dyDescent="0.25">
      <c r="B1" s="805" t="str">
        <f>Расп!A21</f>
        <v>МИНИСТЕРСТВО СПОРТА РОССИЙСКОЙ ФЕДЕРАЦИИ</v>
      </c>
      <c r="C1" s="805"/>
      <c r="D1" s="805"/>
      <c r="E1" s="805"/>
      <c r="F1" s="805"/>
      <c r="G1" s="805"/>
      <c r="H1" s="805"/>
      <c r="I1" s="805"/>
      <c r="J1" s="805"/>
      <c r="K1" s="805"/>
      <c r="L1" s="805"/>
      <c r="M1" s="805"/>
      <c r="N1" s="805"/>
      <c r="Q1" s="209"/>
      <c r="R1" s="210"/>
      <c r="S1" s="209"/>
      <c r="T1" s="210"/>
      <c r="U1" s="146"/>
      <c r="V1" s="210"/>
      <c r="W1" s="145"/>
      <c r="X1" s="146"/>
    </row>
    <row r="2" spans="1:24" ht="13.2" customHeight="1" x14ac:dyDescent="0.25">
      <c r="B2" s="805" t="str">
        <f>Расп!A22</f>
        <v>ВСЕРОССИЙСКАЯ ФЕДЕРАЦИЯ ЛЕГКОЙ АТЛЕТИКИ</v>
      </c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Q2" s="209"/>
      <c r="R2" s="210"/>
      <c r="S2" s="209"/>
      <c r="T2" s="210"/>
      <c r="U2" s="146"/>
      <c r="V2" s="210"/>
      <c r="W2" s="145"/>
      <c r="X2" s="146"/>
    </row>
    <row r="3" spans="1:24" ht="13.2" customHeight="1" x14ac:dyDescent="0.25">
      <c r="B3" s="805" t="str">
        <f>Расп!A25</f>
        <v>Командный чемпионат России</v>
      </c>
      <c r="C3" s="805"/>
      <c r="D3" s="805"/>
      <c r="E3" s="805"/>
      <c r="F3" s="805"/>
      <c r="G3" s="805"/>
      <c r="H3" s="805"/>
      <c r="I3" s="805"/>
      <c r="J3" s="805"/>
      <c r="K3" s="805"/>
      <c r="L3" s="805"/>
      <c r="M3" s="805"/>
      <c r="N3" s="805"/>
      <c r="Q3" s="209"/>
      <c r="R3" s="210"/>
      <c r="S3" s="209"/>
      <c r="T3" s="210"/>
      <c r="U3" s="146"/>
      <c r="V3" s="210"/>
      <c r="W3" s="145"/>
      <c r="X3" s="146"/>
    </row>
    <row r="4" spans="1:24" ht="13.2" customHeight="1" x14ac:dyDescent="0.25">
      <c r="B4" s="802" t="str">
        <f>Расп!A27</f>
        <v>по многоборью</v>
      </c>
      <c r="C4" s="802"/>
      <c r="D4" s="802"/>
      <c r="E4" s="802"/>
      <c r="F4" s="802"/>
      <c r="G4" s="802"/>
      <c r="H4" s="802"/>
      <c r="I4" s="802"/>
      <c r="J4" s="802"/>
      <c r="K4" s="802"/>
      <c r="L4" s="802"/>
      <c r="M4" s="802"/>
      <c r="N4" s="802"/>
      <c r="Q4" s="209"/>
      <c r="R4" s="210"/>
      <c r="S4" s="209"/>
      <c r="T4" s="210"/>
      <c r="U4" s="146"/>
      <c r="V4" s="210"/>
      <c r="W4" s="145"/>
      <c r="X4" s="146"/>
    </row>
    <row r="5" spans="1:24" ht="13.2" customHeight="1" x14ac:dyDescent="0.25">
      <c r="B5" s="802" t="str">
        <f>Расп!A28</f>
        <v>Мужчины</v>
      </c>
      <c r="C5" s="802"/>
      <c r="D5" s="802"/>
      <c r="E5" s="802"/>
      <c r="F5" s="802"/>
      <c r="G5" s="802"/>
      <c r="H5" s="802"/>
      <c r="I5" s="802"/>
      <c r="J5" s="802"/>
      <c r="K5" s="802"/>
      <c r="L5" s="802"/>
      <c r="M5" s="802"/>
      <c r="N5" s="802"/>
      <c r="Q5" s="209"/>
      <c r="R5" s="210"/>
      <c r="S5" s="209"/>
      <c r="T5" s="210"/>
      <c r="U5" s="146"/>
      <c r="V5" s="210"/>
      <c r="W5" s="145"/>
      <c r="X5" s="146"/>
    </row>
    <row r="6" spans="1:24" ht="13.2" customHeight="1" x14ac:dyDescent="0.25">
      <c r="B6" s="801" t="s">
        <v>12</v>
      </c>
      <c r="C6" s="801"/>
      <c r="D6" s="801"/>
      <c r="E6" s="801"/>
      <c r="F6" s="801"/>
      <c r="G6" s="801"/>
      <c r="H6" s="801"/>
      <c r="I6" s="801"/>
      <c r="J6" s="801"/>
      <c r="K6" s="801"/>
      <c r="L6" s="801"/>
      <c r="M6" s="801"/>
      <c r="N6" s="801"/>
      <c r="Q6" s="209"/>
      <c r="R6" s="210"/>
      <c r="S6" s="209"/>
      <c r="T6" s="210"/>
      <c r="U6" s="146"/>
      <c r="V6" s="210"/>
      <c r="W6" s="145"/>
      <c r="X6" s="146"/>
    </row>
    <row r="7" spans="1:24" ht="13.2" customHeight="1" x14ac:dyDescent="0.25">
      <c r="B7" s="801" t="str">
        <f>Расп!A3</f>
        <v>прыжок в длину</v>
      </c>
      <c r="C7" s="801"/>
      <c r="D7" s="801"/>
      <c r="E7" s="801"/>
      <c r="F7" s="801"/>
      <c r="G7" s="801"/>
      <c r="H7" s="801"/>
      <c r="I7" s="801"/>
      <c r="J7" s="801"/>
      <c r="K7" s="801"/>
      <c r="L7" s="801"/>
      <c r="M7" s="801"/>
      <c r="N7" s="801"/>
      <c r="Q7" s="209"/>
      <c r="R7" s="210"/>
      <c r="S7" s="209"/>
      <c r="T7" s="210"/>
      <c r="U7" s="146"/>
      <c r="V7" s="210"/>
      <c r="W7" s="145"/>
      <c r="X7" s="146"/>
    </row>
    <row r="8" spans="1:24" ht="13.2" hidden="1" customHeight="1" x14ac:dyDescent="0.25">
      <c r="C8" s="147"/>
      <c r="D8" s="564"/>
      <c r="E8" s="147"/>
      <c r="G8" s="150"/>
      <c r="I8" s="150"/>
      <c r="Q8" s="209"/>
      <c r="R8" s="210"/>
      <c r="S8" s="209"/>
      <c r="T8" s="210"/>
      <c r="U8" s="146"/>
      <c r="V8" s="210"/>
      <c r="W8" s="145"/>
      <c r="X8" s="146"/>
    </row>
    <row r="9" spans="1:24" ht="13.2" hidden="1" customHeight="1" x14ac:dyDescent="0.25">
      <c r="D9" s="38"/>
      <c r="G9" s="150"/>
      <c r="I9" s="212"/>
      <c r="J9" s="565"/>
      <c r="K9" s="147"/>
      <c r="L9" s="147"/>
      <c r="Q9" s="209"/>
      <c r="R9" s="210"/>
      <c r="S9" s="209"/>
      <c r="T9" s="210"/>
      <c r="U9" s="146"/>
      <c r="V9" s="210"/>
      <c r="W9" s="152" t="s">
        <v>22</v>
      </c>
      <c r="X9" s="146"/>
    </row>
    <row r="10" spans="1:24" ht="13.2" hidden="1" customHeight="1" outlineLevel="1" x14ac:dyDescent="0.3">
      <c r="C10" s="153"/>
      <c r="D10" s="564"/>
      <c r="F10" s="151"/>
      <c r="M10" s="214"/>
      <c r="Q10" s="209"/>
      <c r="R10" s="210"/>
      <c r="S10" s="209"/>
      <c r="T10" s="210"/>
      <c r="U10" s="146"/>
      <c r="V10" s="210"/>
      <c r="W10" s="152" t="s">
        <v>23</v>
      </c>
      <c r="X10" s="146"/>
    </row>
    <row r="11" spans="1:24" ht="13.2" hidden="1" customHeight="1" x14ac:dyDescent="0.3">
      <c r="C11" s="153"/>
      <c r="D11" s="564"/>
      <c r="G11" s="151"/>
      <c r="H11" s="41"/>
      <c r="M11" s="214"/>
      <c r="Q11" s="209"/>
      <c r="R11" s="210"/>
      <c r="S11" s="209"/>
      <c r="T11" s="210"/>
      <c r="U11" s="146"/>
      <c r="V11" s="210"/>
      <c r="W11" s="152" t="s">
        <v>24</v>
      </c>
      <c r="X11" s="146"/>
    </row>
    <row r="12" spans="1:24" ht="13.2" customHeight="1" outlineLevel="1" x14ac:dyDescent="0.3">
      <c r="B12" s="203" t="str">
        <f>Расп!A1</f>
        <v>04.09.2019 г.</v>
      </c>
      <c r="C12" s="153"/>
      <c r="D12" s="564"/>
      <c r="F12" s="563" t="s">
        <v>335</v>
      </c>
      <c r="G12" s="151"/>
      <c r="H12" s="41"/>
      <c r="M12" s="206" t="str">
        <f>Расп!B1</f>
        <v>Начало:</v>
      </c>
      <c r="N12" s="207">
        <v>0.4826388888888889</v>
      </c>
      <c r="Q12" s="209"/>
      <c r="R12" s="210"/>
      <c r="S12" s="209"/>
      <c r="T12" s="210"/>
      <c r="U12" s="146"/>
      <c r="V12" s="210"/>
      <c r="W12" s="145"/>
      <c r="X12" s="146"/>
    </row>
    <row r="13" spans="1:24" ht="13.2" customHeight="1" outlineLevel="1" x14ac:dyDescent="0.3">
      <c r="B13" s="41" t="str">
        <f>Расп!A26</f>
        <v>г.Сочи, Адлерский район, стадион "Юность"</v>
      </c>
      <c r="C13" s="153"/>
      <c r="D13" s="564"/>
      <c r="G13" s="151"/>
      <c r="H13" s="41"/>
      <c r="M13" s="206" t="str">
        <f>Расп!C1</f>
        <v>Окончание:</v>
      </c>
      <c r="Q13" s="209"/>
      <c r="R13" s="210"/>
      <c r="S13" s="209"/>
      <c r="T13" s="210"/>
      <c r="U13" s="146"/>
      <c r="V13" s="210"/>
      <c r="W13" s="145"/>
      <c r="X13" s="146"/>
    </row>
    <row r="14" spans="1:24" s="563" customFormat="1" ht="13.2" customHeight="1" x14ac:dyDescent="0.25">
      <c r="A14" s="154" t="s">
        <v>67</v>
      </c>
      <c r="B14" s="154" t="s">
        <v>260</v>
      </c>
      <c r="C14" s="154" t="s">
        <v>20</v>
      </c>
      <c r="D14" s="154" t="s">
        <v>16</v>
      </c>
      <c r="E14" s="154" t="s">
        <v>0</v>
      </c>
      <c r="F14" s="215" t="s">
        <v>8</v>
      </c>
      <c r="G14" s="216">
        <v>1</v>
      </c>
      <c r="H14" s="215" t="s">
        <v>25</v>
      </c>
      <c r="I14" s="216">
        <v>2</v>
      </c>
      <c r="J14" s="215" t="s">
        <v>25</v>
      </c>
      <c r="K14" s="216">
        <v>3</v>
      </c>
      <c r="L14" s="215" t="s">
        <v>25</v>
      </c>
      <c r="M14" s="216" t="s">
        <v>19</v>
      </c>
      <c r="N14" s="154" t="s">
        <v>25</v>
      </c>
      <c r="O14" s="155" t="s">
        <v>29</v>
      </c>
      <c r="P14" s="157"/>
      <c r="Q14" s="217" t="s">
        <v>31</v>
      </c>
      <c r="R14" s="218" t="s">
        <v>34</v>
      </c>
      <c r="S14" s="217" t="s">
        <v>32</v>
      </c>
      <c r="T14" s="218" t="s">
        <v>35</v>
      </c>
      <c r="U14" s="152" t="s">
        <v>33</v>
      </c>
      <c r="V14" s="218" t="s">
        <v>36</v>
      </c>
      <c r="W14" s="152" t="s">
        <v>28</v>
      </c>
      <c r="X14" s="152" t="s">
        <v>25</v>
      </c>
    </row>
    <row r="15" spans="1:24" s="563" customFormat="1" ht="13.2" hidden="1" customHeight="1" x14ac:dyDescent="0.25">
      <c r="F15" s="563" t="s">
        <v>335</v>
      </c>
      <c r="O15" s="157"/>
      <c r="P15" s="157"/>
      <c r="Q15" s="217"/>
      <c r="R15" s="218"/>
      <c r="S15" s="217"/>
      <c r="T15" s="218"/>
      <c r="U15" s="152"/>
      <c r="V15" s="218"/>
      <c r="W15" s="152"/>
      <c r="X15" s="152"/>
    </row>
    <row r="16" spans="1:24" ht="13.2" customHeight="1" x14ac:dyDescent="0.3">
      <c r="A16" s="219">
        <f t="shared" ref="A16:A27" ca="1" si="0">RAND()</f>
        <v>0.24311651967123782</v>
      </c>
      <c r="B16" s="220">
        <v>1</v>
      </c>
      <c r="C16" s="162">
        <v>26</v>
      </c>
      <c r="D16" s="221" t="e">
        <f>VLOOKUP(C16,Уч!$A$2:$L$34,2,FALSE)</f>
        <v>#N/A</v>
      </c>
      <c r="E16" s="222" t="e">
        <f>VLOOKUP(C16,Уч!$A$2:$L$34,3,FALSE)</f>
        <v>#N/A</v>
      </c>
      <c r="F16" s="331" t="e">
        <f>VLOOKUP(C16,Уч!$A$2:$L$34,5,FALSE)</f>
        <v>#N/A</v>
      </c>
      <c r="G16" s="566">
        <f t="shared" ref="G16:G27" si="1">IF(Q16=0,"X",Q16/100)</f>
        <v>6.97</v>
      </c>
      <c r="H16" s="567">
        <f t="shared" ref="H16:H27" si="2">R16/10</f>
        <v>1.2</v>
      </c>
      <c r="I16" s="566" t="str">
        <f t="shared" ref="I16:I27" si="3">IF(S16=0,"X",S16/100)</f>
        <v>X</v>
      </c>
      <c r="J16" s="567">
        <f t="shared" ref="J16:J27" si="4">T16/10</f>
        <v>0</v>
      </c>
      <c r="K16" s="566" t="str">
        <f t="shared" ref="K16:K27" si="5">IF(U16=0,"X",U16/100)</f>
        <v>X</v>
      </c>
      <c r="L16" s="567">
        <f t="shared" ref="L16:L27" si="6">V16/10</f>
        <v>0</v>
      </c>
      <c r="M16" s="324">
        <f t="shared" ref="M16:M27" si="7">MAX(Q16,S16,U16)/100</f>
        <v>6.97</v>
      </c>
      <c r="N16" s="359">
        <f t="shared" ref="N16:N27" si="8">X16/10</f>
        <v>1.2</v>
      </c>
      <c r="O16" s="228">
        <f t="shared" ref="O16:O27" si="9">IF(W16&lt;225,0,IF(W16=0,0,ROUNDDOWN(0.14354*(W16-220)^1.4,0)))</f>
        <v>807</v>
      </c>
      <c r="P16" s="157"/>
      <c r="Q16" s="209">
        <v>697</v>
      </c>
      <c r="R16" s="146">
        <v>12</v>
      </c>
      <c r="S16" s="209">
        <v>0</v>
      </c>
      <c r="T16" s="146">
        <v>0</v>
      </c>
      <c r="U16" s="209">
        <v>0</v>
      </c>
      <c r="V16" s="146">
        <v>0</v>
      </c>
      <c r="W16" s="229">
        <f t="shared" ref="W16:W27" si="10">MAX(Q16,S16,U16)</f>
        <v>697</v>
      </c>
      <c r="X16" s="152">
        <f t="shared" ref="X16:X27" si="11">IF(W16=Q16,R16,(IF(W16=S16,T16,(IF(W16=U16,V16,)))))</f>
        <v>12</v>
      </c>
    </row>
    <row r="17" spans="1:25" ht="13.2" customHeight="1" x14ac:dyDescent="0.3">
      <c r="A17" s="219">
        <f t="shared" ca="1" si="0"/>
        <v>0.84958153832775085</v>
      </c>
      <c r="B17" s="220">
        <v>2</v>
      </c>
      <c r="C17" s="162">
        <v>69</v>
      </c>
      <c r="D17" s="221" t="e">
        <f>VLOOKUP(C17,Уч!$A$2:$L$34,2,FALSE)</f>
        <v>#N/A</v>
      </c>
      <c r="E17" s="222" t="e">
        <f>VLOOKUP(C17,Уч!$A$2:$L$34,3,FALSE)</f>
        <v>#N/A</v>
      </c>
      <c r="F17" s="331" t="e">
        <f>VLOOKUP(C17,Уч!$A$2:$L$34,5,FALSE)</f>
        <v>#N/A</v>
      </c>
      <c r="G17" s="566">
        <f t="shared" si="1"/>
        <v>6.28</v>
      </c>
      <c r="H17" s="567">
        <f t="shared" si="2"/>
        <v>0.9</v>
      </c>
      <c r="I17" s="566" t="str">
        <f t="shared" si="3"/>
        <v>X</v>
      </c>
      <c r="J17" s="567">
        <f t="shared" si="4"/>
        <v>0</v>
      </c>
      <c r="K17" s="566" t="str">
        <f t="shared" si="5"/>
        <v>X</v>
      </c>
      <c r="L17" s="567">
        <f t="shared" si="6"/>
        <v>0</v>
      </c>
      <c r="M17" s="324">
        <f t="shared" si="7"/>
        <v>6.28</v>
      </c>
      <c r="N17" s="359">
        <f t="shared" si="8"/>
        <v>0.9</v>
      </c>
      <c r="O17" s="228">
        <f t="shared" si="9"/>
        <v>648</v>
      </c>
      <c r="P17" s="157"/>
      <c r="Q17" s="209">
        <v>628</v>
      </c>
      <c r="R17" s="146">
        <v>9</v>
      </c>
      <c r="S17" s="209">
        <v>0</v>
      </c>
      <c r="T17" s="146">
        <v>0</v>
      </c>
      <c r="U17" s="209">
        <v>0</v>
      </c>
      <c r="V17" s="146">
        <v>0</v>
      </c>
      <c r="W17" s="229">
        <f t="shared" si="10"/>
        <v>628</v>
      </c>
      <c r="X17" s="152">
        <f t="shared" si="11"/>
        <v>9</v>
      </c>
    </row>
    <row r="18" spans="1:25" ht="13.2" customHeight="1" x14ac:dyDescent="0.3">
      <c r="A18" s="219">
        <f t="shared" ca="1" si="0"/>
        <v>0.52756886476513309</v>
      </c>
      <c r="B18" s="220">
        <v>3</v>
      </c>
      <c r="C18" s="162">
        <v>24</v>
      </c>
      <c r="D18" s="221" t="e">
        <f>VLOOKUP(C18,Уч!$A$2:$L$34,2,FALSE)</f>
        <v>#N/A</v>
      </c>
      <c r="E18" s="222" t="e">
        <f>VLOOKUP(C18,Уч!$A$2:$L$34,3,FALSE)</f>
        <v>#N/A</v>
      </c>
      <c r="F18" s="331" t="e">
        <f>VLOOKUP(C18,Уч!$A$2:$L$34,5,FALSE)</f>
        <v>#N/A</v>
      </c>
      <c r="G18" s="566">
        <f t="shared" si="1"/>
        <v>7.19</v>
      </c>
      <c r="H18" s="567">
        <f t="shared" si="2"/>
        <v>1.7</v>
      </c>
      <c r="I18" s="566" t="str">
        <f t="shared" si="3"/>
        <v>X</v>
      </c>
      <c r="J18" s="567">
        <f t="shared" si="4"/>
        <v>0</v>
      </c>
      <c r="K18" s="566" t="str">
        <f t="shared" si="5"/>
        <v>X</v>
      </c>
      <c r="L18" s="567">
        <f t="shared" si="6"/>
        <v>0</v>
      </c>
      <c r="M18" s="324">
        <f t="shared" si="7"/>
        <v>7.19</v>
      </c>
      <c r="N18" s="359">
        <f t="shared" si="8"/>
        <v>1.7</v>
      </c>
      <c r="O18" s="228">
        <f t="shared" si="9"/>
        <v>859</v>
      </c>
      <c r="P18" s="157"/>
      <c r="Q18" s="209">
        <v>719</v>
      </c>
      <c r="R18" s="146">
        <v>17</v>
      </c>
      <c r="S18" s="209">
        <v>0</v>
      </c>
      <c r="T18" s="146">
        <v>0</v>
      </c>
      <c r="U18" s="209">
        <v>0</v>
      </c>
      <c r="V18" s="146">
        <v>0</v>
      </c>
      <c r="W18" s="229">
        <f t="shared" si="10"/>
        <v>719</v>
      </c>
      <c r="X18" s="152">
        <f t="shared" si="11"/>
        <v>17</v>
      </c>
    </row>
    <row r="19" spans="1:25" ht="13.2" customHeight="1" x14ac:dyDescent="0.3">
      <c r="A19" s="219">
        <f t="shared" ca="1" si="0"/>
        <v>0.71453638480835324</v>
      </c>
      <c r="B19" s="220">
        <v>4</v>
      </c>
      <c r="C19" s="162">
        <v>81</v>
      </c>
      <c r="D19" s="221" t="str">
        <f>VLOOKUP(C19,Уч!$A$2:$L$34,2,FALSE)</f>
        <v>Исаев Максим</v>
      </c>
      <c r="E19" s="222" t="str">
        <f>VLOOKUP(C19,Уч!$A$2:$L$34,3,FALSE)</f>
        <v>10.07.1997</v>
      </c>
      <c r="F19" s="331" t="str">
        <f>VLOOKUP(C19,Уч!$A$2:$L$34,5,FALSE)</f>
        <v xml:space="preserve">Челябинская область  </v>
      </c>
      <c r="G19" s="566" t="str">
        <f t="shared" si="1"/>
        <v>X</v>
      </c>
      <c r="H19" s="567">
        <f t="shared" si="2"/>
        <v>0</v>
      </c>
      <c r="I19" s="566" t="str">
        <f t="shared" si="3"/>
        <v>X</v>
      </c>
      <c r="J19" s="567">
        <f t="shared" si="4"/>
        <v>0</v>
      </c>
      <c r="K19" s="566" t="str">
        <f t="shared" si="5"/>
        <v>X</v>
      </c>
      <c r="L19" s="567">
        <f t="shared" si="6"/>
        <v>0</v>
      </c>
      <c r="M19" s="324">
        <f t="shared" si="7"/>
        <v>0</v>
      </c>
      <c r="N19" s="359">
        <f t="shared" si="8"/>
        <v>0</v>
      </c>
      <c r="O19" s="228">
        <f t="shared" si="9"/>
        <v>0</v>
      </c>
      <c r="P19" s="157"/>
      <c r="Q19" s="209"/>
      <c r="R19" s="146"/>
      <c r="S19" s="209">
        <v>0</v>
      </c>
      <c r="T19" s="146">
        <v>0</v>
      </c>
      <c r="U19" s="209">
        <v>0</v>
      </c>
      <c r="V19" s="146">
        <v>0</v>
      </c>
      <c r="W19" s="229">
        <f t="shared" si="10"/>
        <v>0</v>
      </c>
      <c r="X19" s="152">
        <f t="shared" si="11"/>
        <v>0</v>
      </c>
      <c r="Y19" s="41" t="s">
        <v>164</v>
      </c>
    </row>
    <row r="20" spans="1:25" ht="13.2" customHeight="1" x14ac:dyDescent="0.3">
      <c r="A20" s="219">
        <f t="shared" ca="1" si="0"/>
        <v>0.19489500731922726</v>
      </c>
      <c r="B20" s="220">
        <v>5</v>
      </c>
      <c r="C20" s="162">
        <v>63</v>
      </c>
      <c r="D20" s="221" t="e">
        <f>VLOOKUP(C20,Уч!$A$2:$L$34,2,FALSE)</f>
        <v>#N/A</v>
      </c>
      <c r="E20" s="222" t="e">
        <f>VLOOKUP(C20,Уч!$A$2:$L$34,3,FALSE)</f>
        <v>#N/A</v>
      </c>
      <c r="F20" s="331" t="e">
        <f>VLOOKUP(C20,Уч!$A$2:$L$34,5,FALSE)</f>
        <v>#N/A</v>
      </c>
      <c r="G20" s="566">
        <f t="shared" si="1"/>
        <v>6.91</v>
      </c>
      <c r="H20" s="567">
        <f t="shared" si="2"/>
        <v>1.4</v>
      </c>
      <c r="I20" s="566" t="str">
        <f t="shared" si="3"/>
        <v>X</v>
      </c>
      <c r="J20" s="567">
        <f t="shared" si="4"/>
        <v>0</v>
      </c>
      <c r="K20" s="566" t="str">
        <f t="shared" si="5"/>
        <v>X</v>
      </c>
      <c r="L20" s="567">
        <f t="shared" si="6"/>
        <v>0</v>
      </c>
      <c r="M20" s="324">
        <f t="shared" si="7"/>
        <v>6.91</v>
      </c>
      <c r="N20" s="359">
        <f t="shared" si="8"/>
        <v>1.4</v>
      </c>
      <c r="O20" s="228">
        <f t="shared" si="9"/>
        <v>792</v>
      </c>
      <c r="P20" s="157"/>
      <c r="Q20" s="209">
        <v>691</v>
      </c>
      <c r="R20" s="146">
        <v>14</v>
      </c>
      <c r="S20" s="209">
        <v>0</v>
      </c>
      <c r="T20" s="146">
        <v>0</v>
      </c>
      <c r="U20" s="209">
        <v>0</v>
      </c>
      <c r="V20" s="146">
        <v>0</v>
      </c>
      <c r="W20" s="229">
        <f t="shared" si="10"/>
        <v>691</v>
      </c>
      <c r="X20" s="152">
        <f t="shared" si="11"/>
        <v>14</v>
      </c>
    </row>
    <row r="21" spans="1:25" ht="13.2" customHeight="1" x14ac:dyDescent="0.3">
      <c r="A21" s="219">
        <f t="shared" ca="1" si="0"/>
        <v>0.15708654476143424</v>
      </c>
      <c r="B21" s="220">
        <v>6</v>
      </c>
      <c r="C21" s="162">
        <v>78</v>
      </c>
      <c r="D21" s="221" t="str">
        <f>VLOOKUP(C21,Уч!$A$2:$L$34,2,FALSE)</f>
        <v>Слаква Максим</v>
      </c>
      <c r="E21" s="222" t="str">
        <f>VLOOKUP(C21,Уч!$A$2:$L$34,3,FALSE)</f>
        <v>10.05.1998</v>
      </c>
      <c r="F21" s="331" t="str">
        <f>VLOOKUP(C21,Уч!$A$2:$L$34,5,FALSE)</f>
        <v xml:space="preserve">Ставропольский край  </v>
      </c>
      <c r="G21" s="566">
        <f t="shared" si="1"/>
        <v>6.75</v>
      </c>
      <c r="H21" s="567">
        <f t="shared" si="2"/>
        <v>0</v>
      </c>
      <c r="I21" s="566" t="str">
        <f t="shared" si="3"/>
        <v>X</v>
      </c>
      <c r="J21" s="567">
        <f t="shared" si="4"/>
        <v>0</v>
      </c>
      <c r="K21" s="566" t="str">
        <f t="shared" si="5"/>
        <v>X</v>
      </c>
      <c r="L21" s="567">
        <f t="shared" si="6"/>
        <v>0</v>
      </c>
      <c r="M21" s="324">
        <f t="shared" si="7"/>
        <v>6.75</v>
      </c>
      <c r="N21" s="359">
        <f t="shared" si="8"/>
        <v>0</v>
      </c>
      <c r="O21" s="228">
        <f t="shared" si="9"/>
        <v>755</v>
      </c>
      <c r="Q21" s="209">
        <v>675</v>
      </c>
      <c r="R21" s="146">
        <v>0</v>
      </c>
      <c r="S21" s="209">
        <v>0</v>
      </c>
      <c r="T21" s="146">
        <v>0</v>
      </c>
      <c r="U21" s="209">
        <v>0</v>
      </c>
      <c r="V21" s="146">
        <v>0</v>
      </c>
      <c r="W21" s="229">
        <f t="shared" si="10"/>
        <v>675</v>
      </c>
      <c r="X21" s="152">
        <f t="shared" si="11"/>
        <v>0</v>
      </c>
    </row>
    <row r="22" spans="1:25" ht="13.2" customHeight="1" x14ac:dyDescent="0.3">
      <c r="A22" s="219">
        <f t="shared" ca="1" si="0"/>
        <v>0.42776036778387172</v>
      </c>
      <c r="B22" s="220">
        <v>7</v>
      </c>
      <c r="C22" s="162">
        <v>70</v>
      </c>
      <c r="D22" s="221" t="e">
        <f>VLOOKUP(C22,Уч!$A$2:$L$34,2,FALSE)</f>
        <v>#N/A</v>
      </c>
      <c r="E22" s="222" t="e">
        <f>VLOOKUP(C22,Уч!$A$2:$L$34,3,FALSE)</f>
        <v>#N/A</v>
      </c>
      <c r="F22" s="331" t="e">
        <f>VLOOKUP(C22,Уч!$A$2:$L$34,5,FALSE)</f>
        <v>#N/A</v>
      </c>
      <c r="G22" s="566">
        <f t="shared" si="1"/>
        <v>6.42</v>
      </c>
      <c r="H22" s="567">
        <f t="shared" si="2"/>
        <v>1.1000000000000001</v>
      </c>
      <c r="I22" s="566" t="str">
        <f t="shared" si="3"/>
        <v>X</v>
      </c>
      <c r="J22" s="567">
        <f t="shared" si="4"/>
        <v>0</v>
      </c>
      <c r="K22" s="566" t="str">
        <f t="shared" si="5"/>
        <v>X</v>
      </c>
      <c r="L22" s="567">
        <f t="shared" si="6"/>
        <v>0</v>
      </c>
      <c r="M22" s="324">
        <f t="shared" si="7"/>
        <v>6.42</v>
      </c>
      <c r="N22" s="359">
        <f t="shared" si="8"/>
        <v>1.1000000000000001</v>
      </c>
      <c r="O22" s="228">
        <f t="shared" si="9"/>
        <v>679</v>
      </c>
      <c r="P22" s="157"/>
      <c r="Q22" s="209">
        <v>642</v>
      </c>
      <c r="R22" s="146">
        <v>11</v>
      </c>
      <c r="S22" s="209">
        <v>0</v>
      </c>
      <c r="T22" s="146">
        <v>0</v>
      </c>
      <c r="U22" s="209">
        <v>0</v>
      </c>
      <c r="V22" s="146">
        <v>0</v>
      </c>
      <c r="W22" s="229">
        <f t="shared" si="10"/>
        <v>642</v>
      </c>
      <c r="X22" s="152">
        <f t="shared" si="11"/>
        <v>11</v>
      </c>
    </row>
    <row r="23" spans="1:25" ht="13.2" customHeight="1" x14ac:dyDescent="0.3">
      <c r="A23" s="219">
        <f t="shared" ca="1" si="0"/>
        <v>0.98146027837506344</v>
      </c>
      <c r="B23" s="220">
        <v>8</v>
      </c>
      <c r="C23" s="304">
        <v>80</v>
      </c>
      <c r="D23" s="221" t="e">
        <f>VLOOKUP(C23,Уч!$A$2:$L$34,2,FALSE)</f>
        <v>#N/A</v>
      </c>
      <c r="E23" s="222" t="e">
        <f>VLOOKUP(C23,Уч!$A$2:$L$34,3,FALSE)</f>
        <v>#N/A</v>
      </c>
      <c r="F23" s="223" t="e">
        <f>VLOOKUP(C23,Уч!$A$2:$L$34,5,FALSE)</f>
        <v>#N/A</v>
      </c>
      <c r="G23" s="566">
        <f t="shared" si="1"/>
        <v>7.18</v>
      </c>
      <c r="H23" s="567">
        <f t="shared" si="2"/>
        <v>0</v>
      </c>
      <c r="I23" s="566" t="str">
        <f t="shared" si="3"/>
        <v>X</v>
      </c>
      <c r="J23" s="567">
        <f t="shared" si="4"/>
        <v>0</v>
      </c>
      <c r="K23" s="566" t="str">
        <f t="shared" si="5"/>
        <v>X</v>
      </c>
      <c r="L23" s="567">
        <f t="shared" si="6"/>
        <v>0</v>
      </c>
      <c r="M23" s="324">
        <f t="shared" si="7"/>
        <v>7.18</v>
      </c>
      <c r="N23" s="359">
        <f t="shared" si="8"/>
        <v>0</v>
      </c>
      <c r="O23" s="228">
        <f t="shared" si="9"/>
        <v>857</v>
      </c>
      <c r="P23" s="157"/>
      <c r="Q23" s="209">
        <v>718</v>
      </c>
      <c r="R23" s="146">
        <v>0</v>
      </c>
      <c r="S23" s="209">
        <v>0</v>
      </c>
      <c r="T23" s="146">
        <v>0</v>
      </c>
      <c r="U23" s="209">
        <v>0</v>
      </c>
      <c r="V23" s="146">
        <v>0</v>
      </c>
      <c r="W23" s="229">
        <f t="shared" si="10"/>
        <v>718</v>
      </c>
      <c r="X23" s="152">
        <f t="shared" si="11"/>
        <v>0</v>
      </c>
    </row>
    <row r="24" spans="1:25" ht="13.2" customHeight="1" x14ac:dyDescent="0.3">
      <c r="A24" s="219">
        <f t="shared" ca="1" si="0"/>
        <v>0.9130634237113554</v>
      </c>
      <c r="B24" s="220">
        <v>9</v>
      </c>
      <c r="C24" s="197">
        <v>44</v>
      </c>
      <c r="D24" s="221" t="str">
        <f>VLOOKUP(C24,Уч!$A$2:$L$34,2,FALSE)</f>
        <v>Хамедов Игорь</v>
      </c>
      <c r="E24" s="222" t="str">
        <f>VLOOKUP(C24,Уч!$A$2:$L$34,3,FALSE)</f>
        <v>30.05.1998</v>
      </c>
      <c r="F24" s="223" t="str">
        <f>VLOOKUP(C24,Уч!$A$2:$L$34,5,FALSE)</f>
        <v xml:space="preserve">Кемеровская область  </v>
      </c>
      <c r="G24" s="566">
        <f t="shared" si="1"/>
        <v>6.95</v>
      </c>
      <c r="H24" s="567">
        <f t="shared" si="2"/>
        <v>-0.2</v>
      </c>
      <c r="I24" s="566" t="str">
        <f t="shared" si="3"/>
        <v>X</v>
      </c>
      <c r="J24" s="567">
        <f t="shared" si="4"/>
        <v>0</v>
      </c>
      <c r="K24" s="566" t="str">
        <f t="shared" si="5"/>
        <v>X</v>
      </c>
      <c r="L24" s="567">
        <f t="shared" si="6"/>
        <v>0</v>
      </c>
      <c r="M24" s="324">
        <f t="shared" si="7"/>
        <v>6.95</v>
      </c>
      <c r="N24" s="359">
        <f t="shared" si="8"/>
        <v>-0.2</v>
      </c>
      <c r="O24" s="228">
        <f t="shared" si="9"/>
        <v>802</v>
      </c>
      <c r="Q24" s="209">
        <v>695</v>
      </c>
      <c r="R24" s="146">
        <v>-2</v>
      </c>
      <c r="S24" s="209">
        <v>0</v>
      </c>
      <c r="T24" s="146">
        <v>0</v>
      </c>
      <c r="U24" s="209">
        <v>0</v>
      </c>
      <c r="V24" s="146">
        <v>0</v>
      </c>
      <c r="W24" s="229">
        <f t="shared" si="10"/>
        <v>695</v>
      </c>
      <c r="X24" s="152">
        <f t="shared" si="11"/>
        <v>-2</v>
      </c>
      <c r="Y24" s="41" t="s">
        <v>96</v>
      </c>
    </row>
    <row r="25" spans="1:25" ht="13.2" customHeight="1" x14ac:dyDescent="0.3">
      <c r="A25" s="219">
        <f t="shared" ca="1" si="0"/>
        <v>0.83228869661709382</v>
      </c>
      <c r="B25" s="220">
        <v>10</v>
      </c>
      <c r="C25" s="162">
        <v>41</v>
      </c>
      <c r="D25" s="221" t="str">
        <f>VLOOKUP(C25,Уч!$A$2:$L$34,2,FALSE)</f>
        <v>Фомичев Андрей</v>
      </c>
      <c r="E25" s="222" t="str">
        <f>VLOOKUP(C25,Уч!$A$2:$L$34,3,FALSE)</f>
        <v>15.12.1996</v>
      </c>
      <c r="F25" s="223" t="str">
        <f>VLOOKUP(C25,Уч!$A$2:$L$34,5,FALSE)</f>
        <v xml:space="preserve">Кемеровская область  </v>
      </c>
      <c r="G25" s="566">
        <f t="shared" si="1"/>
        <v>6.85</v>
      </c>
      <c r="H25" s="567">
        <f t="shared" si="2"/>
        <v>-0.2</v>
      </c>
      <c r="I25" s="566" t="str">
        <f t="shared" si="3"/>
        <v>X</v>
      </c>
      <c r="J25" s="567">
        <f t="shared" si="4"/>
        <v>0</v>
      </c>
      <c r="K25" s="566" t="str">
        <f t="shared" si="5"/>
        <v>X</v>
      </c>
      <c r="L25" s="567">
        <f t="shared" si="6"/>
        <v>0</v>
      </c>
      <c r="M25" s="324">
        <f t="shared" si="7"/>
        <v>6.85</v>
      </c>
      <c r="N25" s="359">
        <f t="shared" si="8"/>
        <v>-0.2</v>
      </c>
      <c r="O25" s="228">
        <f t="shared" si="9"/>
        <v>778</v>
      </c>
      <c r="P25" s="157"/>
      <c r="Q25" s="209">
        <v>685</v>
      </c>
      <c r="R25" s="146">
        <v>-2</v>
      </c>
      <c r="S25" s="209">
        <v>0</v>
      </c>
      <c r="T25" s="146">
        <v>0</v>
      </c>
      <c r="U25" s="209">
        <v>0</v>
      </c>
      <c r="V25" s="146">
        <v>0</v>
      </c>
      <c r="W25" s="229">
        <f t="shared" si="10"/>
        <v>685</v>
      </c>
      <c r="X25" s="152">
        <f t="shared" si="11"/>
        <v>-2</v>
      </c>
    </row>
    <row r="26" spans="1:25" ht="13.2" customHeight="1" x14ac:dyDescent="0.3">
      <c r="A26" s="219">
        <f t="shared" ca="1" si="0"/>
        <v>0.24014799062692327</v>
      </c>
      <c r="B26" s="220">
        <v>11</v>
      </c>
      <c r="C26" s="162">
        <v>50</v>
      </c>
      <c r="D26" s="221" t="e">
        <f>VLOOKUP(C26,Уч!$A$2:$L$34,2,FALSE)</f>
        <v>#N/A</v>
      </c>
      <c r="E26" s="222" t="e">
        <f>VLOOKUP(C26,Уч!$A$2:$L$34,3,FALSE)</f>
        <v>#N/A</v>
      </c>
      <c r="F26" s="223" t="e">
        <f>VLOOKUP(C26,Уч!$A$2:$L$34,5,FALSE)</f>
        <v>#N/A</v>
      </c>
      <c r="G26" s="566" t="str">
        <f t="shared" si="1"/>
        <v>X</v>
      </c>
      <c r="H26" s="567">
        <f t="shared" si="2"/>
        <v>0</v>
      </c>
      <c r="I26" s="566" t="str">
        <f t="shared" si="3"/>
        <v>X</v>
      </c>
      <c r="J26" s="567">
        <f t="shared" si="4"/>
        <v>0</v>
      </c>
      <c r="K26" s="566" t="str">
        <f t="shared" si="5"/>
        <v>X</v>
      </c>
      <c r="L26" s="567">
        <f t="shared" si="6"/>
        <v>0</v>
      </c>
      <c r="M26" s="324">
        <f t="shared" si="7"/>
        <v>0</v>
      </c>
      <c r="N26" s="359">
        <f t="shared" si="8"/>
        <v>0</v>
      </c>
      <c r="O26" s="228">
        <f t="shared" si="9"/>
        <v>0</v>
      </c>
      <c r="P26" s="157"/>
      <c r="Q26" s="209"/>
      <c r="R26" s="146"/>
      <c r="S26" s="209">
        <v>0</v>
      </c>
      <c r="T26" s="146">
        <v>0</v>
      </c>
      <c r="U26" s="209">
        <v>0</v>
      </c>
      <c r="V26" s="146">
        <v>0</v>
      </c>
      <c r="W26" s="229">
        <f t="shared" si="10"/>
        <v>0</v>
      </c>
      <c r="X26" s="152">
        <f t="shared" si="11"/>
        <v>0</v>
      </c>
      <c r="Y26" s="41" t="s">
        <v>240</v>
      </c>
    </row>
    <row r="27" spans="1:25" ht="13.2" customHeight="1" x14ac:dyDescent="0.3">
      <c r="A27" s="219">
        <f t="shared" ca="1" si="0"/>
        <v>6.885866995281964E-2</v>
      </c>
      <c r="B27" s="220">
        <v>12</v>
      </c>
      <c r="C27" s="162">
        <v>62</v>
      </c>
      <c r="D27" s="221" t="e">
        <f>VLOOKUP(C27,Уч!$A$2:$L$34,2,FALSE)</f>
        <v>#N/A</v>
      </c>
      <c r="E27" s="222" t="e">
        <f>VLOOKUP(C27,Уч!$A$2:$L$34,3,FALSE)</f>
        <v>#N/A</v>
      </c>
      <c r="F27" s="223" t="e">
        <f>VLOOKUP(C27,Уч!$A$2:$L$34,5,FALSE)</f>
        <v>#N/A</v>
      </c>
      <c r="G27" s="566" t="str">
        <f t="shared" si="1"/>
        <v>X</v>
      </c>
      <c r="H27" s="567">
        <f t="shared" si="2"/>
        <v>0</v>
      </c>
      <c r="I27" s="566" t="str">
        <f t="shared" si="3"/>
        <v>X</v>
      </c>
      <c r="J27" s="567">
        <f t="shared" si="4"/>
        <v>0</v>
      </c>
      <c r="K27" s="566" t="str">
        <f t="shared" si="5"/>
        <v>X</v>
      </c>
      <c r="L27" s="567">
        <f t="shared" si="6"/>
        <v>0</v>
      </c>
      <c r="M27" s="324">
        <f t="shared" si="7"/>
        <v>0</v>
      </c>
      <c r="N27" s="359">
        <f t="shared" si="8"/>
        <v>0</v>
      </c>
      <c r="O27" s="228">
        <f t="shared" si="9"/>
        <v>0</v>
      </c>
      <c r="Q27" s="209"/>
      <c r="R27" s="146"/>
      <c r="S27" s="209">
        <v>0</v>
      </c>
      <c r="T27" s="146">
        <v>0</v>
      </c>
      <c r="U27" s="209">
        <v>0</v>
      </c>
      <c r="V27" s="146">
        <v>0</v>
      </c>
      <c r="W27" s="229">
        <f t="shared" si="10"/>
        <v>0</v>
      </c>
      <c r="X27" s="152">
        <f t="shared" si="11"/>
        <v>0</v>
      </c>
    </row>
    <row r="28" spans="1:25" ht="13.2" customHeight="1" x14ac:dyDescent="0.3">
      <c r="A28" s="219">
        <f t="shared" ref="A28:A44" ca="1" si="12">RAND()</f>
        <v>0.88307254863843487</v>
      </c>
      <c r="B28" s="575"/>
      <c r="C28" s="549"/>
      <c r="D28" s="576"/>
      <c r="E28" s="577"/>
      <c r="F28" s="578"/>
      <c r="G28" s="579"/>
      <c r="H28" s="580"/>
      <c r="I28" s="579"/>
      <c r="J28" s="580"/>
      <c r="K28" s="579"/>
      <c r="L28" s="580"/>
      <c r="M28" s="581"/>
      <c r="N28" s="582"/>
      <c r="O28" s="228">
        <f t="shared" ref="O28:O44" si="13">IF(W28&lt;225,0,IF(W28=0,0,ROUNDDOWN(0.14354*(W28-220)^1.4,0)))</f>
        <v>922</v>
      </c>
      <c r="P28" s="157"/>
      <c r="Q28" s="209">
        <v>745</v>
      </c>
      <c r="R28" s="146">
        <v>-14</v>
      </c>
      <c r="S28" s="209">
        <v>0</v>
      </c>
      <c r="T28" s="146">
        <v>0</v>
      </c>
      <c r="U28" s="209">
        <v>0</v>
      </c>
      <c r="V28" s="146">
        <v>0</v>
      </c>
      <c r="W28" s="229">
        <f t="shared" ref="W28:W44" si="14">MAX(Q28,S28,U28)</f>
        <v>745</v>
      </c>
      <c r="X28" s="152">
        <f t="shared" ref="X28:X44" si="15">IF(W28=Q28,R28,(IF(W28=S28,T28,(IF(W28=U28,V28,)))))</f>
        <v>-14</v>
      </c>
    </row>
    <row r="29" spans="1:25" ht="16.05" customHeight="1" x14ac:dyDescent="0.3">
      <c r="A29" s="219">
        <f t="shared" ca="1" si="12"/>
        <v>0.89602594179111772</v>
      </c>
      <c r="B29" s="557" t="s">
        <v>325</v>
      </c>
      <c r="C29" s="549"/>
      <c r="D29" s="576"/>
      <c r="E29" s="577"/>
      <c r="F29" s="578"/>
      <c r="G29" s="579"/>
      <c r="H29" s="580"/>
      <c r="I29" s="579"/>
      <c r="J29" s="580"/>
      <c r="K29" s="579"/>
      <c r="L29" s="580"/>
      <c r="M29" s="581"/>
      <c r="N29" s="582"/>
      <c r="O29" s="228">
        <f t="shared" si="13"/>
        <v>0</v>
      </c>
      <c r="P29" s="157"/>
      <c r="Q29" s="209"/>
      <c r="R29" s="146"/>
      <c r="S29" s="209">
        <v>0</v>
      </c>
      <c r="T29" s="146">
        <v>0</v>
      </c>
      <c r="U29" s="209">
        <v>0</v>
      </c>
      <c r="V29" s="146">
        <v>0</v>
      </c>
      <c r="W29" s="229">
        <f t="shared" si="14"/>
        <v>0</v>
      </c>
      <c r="X29" s="152">
        <f t="shared" si="15"/>
        <v>0</v>
      </c>
      <c r="Y29" s="41" t="s">
        <v>240</v>
      </c>
    </row>
    <row r="30" spans="1:25" ht="16.05" customHeight="1" x14ac:dyDescent="0.3">
      <c r="A30" s="219">
        <f t="shared" ca="1" si="12"/>
        <v>0.62460570330464005</v>
      </c>
      <c r="B30" s="557" t="s">
        <v>332</v>
      </c>
      <c r="C30" s="549"/>
      <c r="D30" s="576"/>
      <c r="E30" s="577"/>
      <c r="F30" s="578"/>
      <c r="G30" s="579"/>
      <c r="H30" s="580"/>
      <c r="I30" s="579"/>
      <c r="J30" s="580"/>
      <c r="K30" s="579"/>
      <c r="L30" s="580"/>
      <c r="M30" s="581"/>
      <c r="N30" s="582"/>
      <c r="O30" s="228">
        <f t="shared" si="13"/>
        <v>723</v>
      </c>
      <c r="P30" s="157"/>
      <c r="Q30" s="209">
        <v>661</v>
      </c>
      <c r="R30" s="146">
        <v>-7</v>
      </c>
      <c r="S30" s="209">
        <v>0</v>
      </c>
      <c r="T30" s="146">
        <v>0</v>
      </c>
      <c r="U30" s="209">
        <v>0</v>
      </c>
      <c r="V30" s="146">
        <v>0</v>
      </c>
      <c r="W30" s="229">
        <f t="shared" si="14"/>
        <v>661</v>
      </c>
      <c r="X30" s="152">
        <f t="shared" si="15"/>
        <v>-7</v>
      </c>
    </row>
    <row r="31" spans="1:25" ht="16.05" customHeight="1" x14ac:dyDescent="0.3">
      <c r="A31" s="219">
        <f t="shared" ca="1" si="12"/>
        <v>0.37690604398014238</v>
      </c>
      <c r="B31" s="557" t="s">
        <v>333</v>
      </c>
      <c r="C31" s="549"/>
      <c r="D31" s="576"/>
      <c r="E31" s="577"/>
      <c r="F31" s="578"/>
      <c r="G31" s="579"/>
      <c r="H31" s="580"/>
      <c r="I31" s="579"/>
      <c r="J31" s="580"/>
      <c r="K31" s="579"/>
      <c r="L31" s="580"/>
      <c r="M31" s="581"/>
      <c r="N31" s="582"/>
      <c r="O31" s="228">
        <f t="shared" si="13"/>
        <v>778</v>
      </c>
      <c r="P31" s="157"/>
      <c r="Q31" s="209">
        <v>685</v>
      </c>
      <c r="R31" s="146">
        <v>24</v>
      </c>
      <c r="S31" s="209">
        <v>0</v>
      </c>
      <c r="T31" s="146">
        <v>0</v>
      </c>
      <c r="U31" s="209">
        <v>0</v>
      </c>
      <c r="V31" s="146">
        <v>0</v>
      </c>
      <c r="W31" s="229">
        <f t="shared" si="14"/>
        <v>685</v>
      </c>
      <c r="X31" s="152">
        <f t="shared" si="15"/>
        <v>24</v>
      </c>
    </row>
    <row r="32" spans="1:25" ht="13.2" customHeight="1" x14ac:dyDescent="0.3">
      <c r="A32" s="219">
        <f t="shared" ca="1" si="12"/>
        <v>0.62590080962970751</v>
      </c>
      <c r="B32" s="575"/>
      <c r="C32" s="583"/>
      <c r="D32" s="576"/>
      <c r="E32" s="577"/>
      <c r="F32" s="578"/>
      <c r="G32" s="579"/>
      <c r="H32" s="580"/>
      <c r="I32" s="579"/>
      <c r="J32" s="580"/>
      <c r="K32" s="579"/>
      <c r="L32" s="580"/>
      <c r="M32" s="581"/>
      <c r="N32" s="582"/>
      <c r="O32" s="228">
        <f t="shared" si="13"/>
        <v>883</v>
      </c>
      <c r="P32" s="157"/>
      <c r="Q32" s="209">
        <v>729</v>
      </c>
      <c r="R32" s="146">
        <v>13</v>
      </c>
      <c r="S32" s="209">
        <v>0</v>
      </c>
      <c r="T32" s="146">
        <v>0</v>
      </c>
      <c r="U32" s="209">
        <v>0</v>
      </c>
      <c r="V32" s="146">
        <v>0</v>
      </c>
      <c r="W32" s="229">
        <f t="shared" si="14"/>
        <v>729</v>
      </c>
      <c r="X32" s="152">
        <f t="shared" si="15"/>
        <v>13</v>
      </c>
    </row>
    <row r="33" spans="1:25" ht="13.2" customHeight="1" x14ac:dyDescent="0.3">
      <c r="A33" s="219">
        <f t="shared" ca="1" si="12"/>
        <v>0.8241051081994375</v>
      </c>
      <c r="B33" s="568"/>
      <c r="C33" s="569"/>
      <c r="D33" s="326" t="e">
        <f>VLOOKUP(C33,Уч!$A$2:$L$34,2,FALSE)</f>
        <v>#N/A</v>
      </c>
      <c r="E33" s="327" t="e">
        <f>VLOOKUP(C33,Уч!$A$2:$L$34,3,FALSE)</f>
        <v>#N/A</v>
      </c>
      <c r="F33" s="570" t="e">
        <f>VLOOKUP(C33,Уч!$A$2:$L$34,5,FALSE)</f>
        <v>#N/A</v>
      </c>
      <c r="G33" s="571" t="str">
        <f t="shared" ref="G33:G44" si="16">IF(Q33=0,"X",Q33/100)</f>
        <v>X</v>
      </c>
      <c r="H33" s="572">
        <f t="shared" ref="H33:H44" si="17">R33/10</f>
        <v>0</v>
      </c>
      <c r="I33" s="571" t="str">
        <f t="shared" ref="I33:I44" si="18">IF(S33=0,"X",S33/100)</f>
        <v>X</v>
      </c>
      <c r="J33" s="572">
        <f t="shared" ref="J33:J44" si="19">T33/10</f>
        <v>0</v>
      </c>
      <c r="K33" s="571" t="str">
        <f t="shared" ref="K33:K44" si="20">IF(U33=0,"X",U33/100)</f>
        <v>X</v>
      </c>
      <c r="L33" s="572">
        <f t="shared" ref="L33:L44" si="21">V33/10</f>
        <v>0</v>
      </c>
      <c r="M33" s="573">
        <f t="shared" ref="M33:M44" si="22">MAX(Q33,S33,U33)/100</f>
        <v>0</v>
      </c>
      <c r="N33" s="574">
        <f t="shared" ref="N33:N44" si="23">X33/10</f>
        <v>0</v>
      </c>
      <c r="O33" s="228">
        <f t="shared" si="13"/>
        <v>0</v>
      </c>
      <c r="P33" s="157"/>
      <c r="Q33" s="209">
        <v>0</v>
      </c>
      <c r="R33" s="146"/>
      <c r="S33" s="209">
        <v>0</v>
      </c>
      <c r="T33" s="146">
        <v>0</v>
      </c>
      <c r="U33" s="209">
        <v>0</v>
      </c>
      <c r="V33" s="146">
        <v>0</v>
      </c>
      <c r="W33" s="229">
        <f t="shared" si="14"/>
        <v>0</v>
      </c>
      <c r="X33" s="152">
        <f t="shared" si="15"/>
        <v>0</v>
      </c>
      <c r="Y33" s="41" t="s">
        <v>240</v>
      </c>
    </row>
    <row r="34" spans="1:25" ht="13.2" customHeight="1" x14ac:dyDescent="0.3">
      <c r="A34" s="219">
        <f t="shared" ca="1" si="12"/>
        <v>0.97938267418543401</v>
      </c>
      <c r="B34" s="220"/>
      <c r="C34" s="230"/>
      <c r="D34" s="221" t="e">
        <f>VLOOKUP(C34,Уч!$A$2:$L$34,2,FALSE)</f>
        <v>#N/A</v>
      </c>
      <c r="E34" s="222" t="e">
        <f>VLOOKUP(C34,Уч!$A$2:$L$34,3,FALSE)</f>
        <v>#N/A</v>
      </c>
      <c r="F34" s="223" t="e">
        <f>VLOOKUP(C34,Уч!$A$2:$L$34,5,FALSE)</f>
        <v>#N/A</v>
      </c>
      <c r="G34" s="224">
        <f t="shared" si="16"/>
        <v>6.92</v>
      </c>
      <c r="H34" s="225">
        <f t="shared" si="17"/>
        <v>2.2999999999999998</v>
      </c>
      <c r="I34" s="224" t="str">
        <f t="shared" si="18"/>
        <v>X</v>
      </c>
      <c r="J34" s="225">
        <f t="shared" si="19"/>
        <v>0</v>
      </c>
      <c r="K34" s="224" t="str">
        <f t="shared" si="20"/>
        <v>X</v>
      </c>
      <c r="L34" s="225">
        <f t="shared" si="21"/>
        <v>0</v>
      </c>
      <c r="M34" s="226">
        <f t="shared" si="22"/>
        <v>6.92</v>
      </c>
      <c r="N34" s="227">
        <f t="shared" si="23"/>
        <v>2.2999999999999998</v>
      </c>
      <c r="O34" s="228">
        <f t="shared" si="13"/>
        <v>795</v>
      </c>
      <c r="P34" s="157"/>
      <c r="Q34" s="209">
        <v>692</v>
      </c>
      <c r="R34" s="146">
        <v>23</v>
      </c>
      <c r="S34" s="209">
        <v>0</v>
      </c>
      <c r="T34" s="146">
        <v>0</v>
      </c>
      <c r="U34" s="209">
        <v>0</v>
      </c>
      <c r="V34" s="146">
        <v>0</v>
      </c>
      <c r="W34" s="229">
        <f t="shared" si="14"/>
        <v>692</v>
      </c>
      <c r="X34" s="152">
        <f t="shared" si="15"/>
        <v>23</v>
      </c>
    </row>
    <row r="35" spans="1:25" ht="13.2" customHeight="1" x14ac:dyDescent="0.3">
      <c r="A35" s="219">
        <f t="shared" ca="1" si="12"/>
        <v>0.87456171467170851</v>
      </c>
      <c r="B35" s="220"/>
      <c r="C35" s="220"/>
      <c r="D35" s="221" t="e">
        <f>VLOOKUP(C35,Уч!$A$2:$L$34,2,FALSE)</f>
        <v>#N/A</v>
      </c>
      <c r="E35" s="222" t="e">
        <f>VLOOKUP(C35,Уч!$A$2:$L$34,3,FALSE)</f>
        <v>#N/A</v>
      </c>
      <c r="F35" s="223" t="e">
        <f>VLOOKUP(C35,Уч!$A$2:$L$34,5,FALSE)</f>
        <v>#N/A</v>
      </c>
      <c r="G35" s="224">
        <f t="shared" si="16"/>
        <v>6.83</v>
      </c>
      <c r="H35" s="225">
        <f t="shared" si="17"/>
        <v>1</v>
      </c>
      <c r="I35" s="224" t="str">
        <f t="shared" si="18"/>
        <v>X</v>
      </c>
      <c r="J35" s="225">
        <f t="shared" si="19"/>
        <v>0</v>
      </c>
      <c r="K35" s="224" t="str">
        <f t="shared" si="20"/>
        <v>X</v>
      </c>
      <c r="L35" s="225">
        <f t="shared" si="21"/>
        <v>0</v>
      </c>
      <c r="M35" s="226">
        <f t="shared" si="22"/>
        <v>6.83</v>
      </c>
      <c r="N35" s="227">
        <f t="shared" si="23"/>
        <v>1</v>
      </c>
      <c r="O35" s="228">
        <f t="shared" si="13"/>
        <v>774</v>
      </c>
      <c r="P35" s="157"/>
      <c r="Q35" s="209">
        <v>683</v>
      </c>
      <c r="R35" s="146">
        <v>10</v>
      </c>
      <c r="S35" s="209">
        <v>0</v>
      </c>
      <c r="T35" s="146">
        <v>0</v>
      </c>
      <c r="U35" s="209">
        <v>0</v>
      </c>
      <c r="V35" s="146">
        <v>0</v>
      </c>
      <c r="W35" s="229">
        <f t="shared" si="14"/>
        <v>683</v>
      </c>
      <c r="X35" s="152">
        <f t="shared" si="15"/>
        <v>10</v>
      </c>
    </row>
    <row r="36" spans="1:25" ht="13.2" customHeight="1" x14ac:dyDescent="0.3">
      <c r="A36" s="219">
        <f t="shared" ca="1" si="12"/>
        <v>0.87342203606316182</v>
      </c>
      <c r="B36" s="220"/>
      <c r="C36" s="230"/>
      <c r="D36" s="221" t="e">
        <f>VLOOKUP(C36,Уч!$A$2:$L$34,2,FALSE)</f>
        <v>#N/A</v>
      </c>
      <c r="E36" s="222" t="e">
        <f>VLOOKUP(C36,Уч!$A$2:$L$34,3,FALSE)</f>
        <v>#N/A</v>
      </c>
      <c r="F36" s="223" t="e">
        <f>VLOOKUP(C36,Уч!$A$2:$L$34,5,FALSE)</f>
        <v>#N/A</v>
      </c>
      <c r="G36" s="224">
        <f t="shared" si="16"/>
        <v>7.49</v>
      </c>
      <c r="H36" s="225">
        <f t="shared" si="17"/>
        <v>2.5</v>
      </c>
      <c r="I36" s="224" t="str">
        <f t="shared" si="18"/>
        <v>X</v>
      </c>
      <c r="J36" s="225">
        <f t="shared" si="19"/>
        <v>0</v>
      </c>
      <c r="K36" s="224" t="str">
        <f t="shared" si="20"/>
        <v>X</v>
      </c>
      <c r="L36" s="225">
        <f t="shared" si="21"/>
        <v>0</v>
      </c>
      <c r="M36" s="226">
        <f t="shared" si="22"/>
        <v>7.49</v>
      </c>
      <c r="N36" s="227">
        <f t="shared" si="23"/>
        <v>2.5</v>
      </c>
      <c r="O36" s="228">
        <f t="shared" si="13"/>
        <v>932</v>
      </c>
      <c r="P36" s="157"/>
      <c r="Q36" s="209">
        <v>749</v>
      </c>
      <c r="R36" s="146">
        <v>25</v>
      </c>
      <c r="S36" s="209">
        <v>0</v>
      </c>
      <c r="T36" s="146">
        <v>0</v>
      </c>
      <c r="U36" s="209">
        <v>0</v>
      </c>
      <c r="V36" s="146">
        <v>0</v>
      </c>
      <c r="W36" s="229">
        <f t="shared" si="14"/>
        <v>749</v>
      </c>
      <c r="X36" s="152">
        <f t="shared" si="15"/>
        <v>25</v>
      </c>
    </row>
    <row r="37" spans="1:25" ht="13.2" customHeight="1" x14ac:dyDescent="0.3">
      <c r="A37" s="219">
        <f t="shared" ca="1" si="12"/>
        <v>0.71175378945135503</v>
      </c>
      <c r="B37" s="220"/>
      <c r="C37" s="220"/>
      <c r="D37" s="221" t="e">
        <f>VLOOKUP(C37,Уч!$A$2:$L$34,2,FALSE)</f>
        <v>#N/A</v>
      </c>
      <c r="E37" s="222" t="e">
        <f>VLOOKUP(C37,Уч!$A$2:$L$34,3,FALSE)</f>
        <v>#N/A</v>
      </c>
      <c r="F37" s="223" t="e">
        <f>VLOOKUP(C37,Уч!$A$2:$L$34,5,FALSE)</f>
        <v>#N/A</v>
      </c>
      <c r="G37" s="224">
        <f t="shared" si="16"/>
        <v>7.42</v>
      </c>
      <c r="H37" s="225">
        <f t="shared" si="17"/>
        <v>0.7</v>
      </c>
      <c r="I37" s="224" t="str">
        <f t="shared" si="18"/>
        <v>X</v>
      </c>
      <c r="J37" s="225">
        <f t="shared" si="19"/>
        <v>0</v>
      </c>
      <c r="K37" s="224" t="str">
        <f t="shared" si="20"/>
        <v>X</v>
      </c>
      <c r="L37" s="225">
        <f t="shared" si="21"/>
        <v>0</v>
      </c>
      <c r="M37" s="226">
        <f t="shared" si="22"/>
        <v>7.42</v>
      </c>
      <c r="N37" s="227">
        <f t="shared" si="23"/>
        <v>0.7</v>
      </c>
      <c r="O37" s="228">
        <f t="shared" si="13"/>
        <v>915</v>
      </c>
      <c r="Q37" s="209">
        <v>742</v>
      </c>
      <c r="R37" s="146">
        <v>7</v>
      </c>
      <c r="S37" s="209">
        <v>0</v>
      </c>
      <c r="T37" s="146">
        <v>0</v>
      </c>
      <c r="U37" s="209">
        <v>0</v>
      </c>
      <c r="V37" s="146">
        <v>0</v>
      </c>
      <c r="W37" s="229">
        <f t="shared" si="14"/>
        <v>742</v>
      </c>
      <c r="X37" s="152">
        <f t="shared" si="15"/>
        <v>7</v>
      </c>
    </row>
    <row r="38" spans="1:25" ht="13.2" customHeight="1" x14ac:dyDescent="0.3">
      <c r="A38" s="219">
        <f t="shared" ca="1" si="12"/>
        <v>0.14958809854604949</v>
      </c>
      <c r="B38" s="220">
        <v>23</v>
      </c>
      <c r="C38" s="230">
        <v>39</v>
      </c>
      <c r="D38" s="221" t="str">
        <f>VLOOKUP(C38,Уч!$A$2:$L$34,2,FALSE)</f>
        <v>Левковский Андрей</v>
      </c>
      <c r="E38" s="222" t="str">
        <f>VLOOKUP(C38,Уч!$A$2:$L$34,3,FALSE)</f>
        <v>17.08.1997</v>
      </c>
      <c r="F38" s="223" t="str">
        <f>VLOOKUP(C38,Уч!$A$2:$L$34,5,FALSE)</f>
        <v xml:space="preserve">Кемеровская область  </v>
      </c>
      <c r="G38" s="224">
        <f t="shared" si="16"/>
        <v>6.94</v>
      </c>
      <c r="H38" s="225">
        <f t="shared" si="17"/>
        <v>1.9</v>
      </c>
      <c r="I38" s="224" t="str">
        <f t="shared" si="18"/>
        <v>X</v>
      </c>
      <c r="J38" s="225">
        <f t="shared" si="19"/>
        <v>0</v>
      </c>
      <c r="K38" s="224" t="str">
        <f t="shared" si="20"/>
        <v>X</v>
      </c>
      <c r="L38" s="225">
        <f t="shared" si="21"/>
        <v>0</v>
      </c>
      <c r="M38" s="226">
        <f t="shared" si="22"/>
        <v>6.94</v>
      </c>
      <c r="N38" s="227">
        <f t="shared" si="23"/>
        <v>1.9</v>
      </c>
      <c r="O38" s="228">
        <f t="shared" si="13"/>
        <v>799</v>
      </c>
      <c r="P38" s="157"/>
      <c r="Q38" s="209">
        <v>694</v>
      </c>
      <c r="R38" s="146">
        <v>19</v>
      </c>
      <c r="S38" s="209">
        <v>0</v>
      </c>
      <c r="T38" s="146">
        <v>0</v>
      </c>
      <c r="U38" s="209">
        <v>0</v>
      </c>
      <c r="V38" s="146">
        <v>0</v>
      </c>
      <c r="W38" s="229">
        <f t="shared" si="14"/>
        <v>694</v>
      </c>
      <c r="X38" s="152">
        <f t="shared" si="15"/>
        <v>19</v>
      </c>
    </row>
    <row r="39" spans="1:25" ht="13.2" customHeight="1" x14ac:dyDescent="0.3">
      <c r="A39" s="219">
        <f t="shared" ca="1" si="12"/>
        <v>0.5661288584442008</v>
      </c>
      <c r="B39" s="220">
        <v>24</v>
      </c>
      <c r="C39" s="220">
        <v>28</v>
      </c>
      <c r="D39" s="221" t="e">
        <f>VLOOKUP(C39,Уч!$A$2:$L$34,2,FALSE)</f>
        <v>#N/A</v>
      </c>
      <c r="E39" s="222" t="e">
        <f>VLOOKUP(C39,Уч!$A$2:$L$34,3,FALSE)</f>
        <v>#N/A</v>
      </c>
      <c r="F39" s="223" t="e">
        <f>VLOOKUP(C39,Уч!$A$2:$L$34,5,FALSE)</f>
        <v>#N/A</v>
      </c>
      <c r="G39" s="224">
        <f t="shared" si="16"/>
        <v>7.33</v>
      </c>
      <c r="H39" s="225">
        <f t="shared" si="17"/>
        <v>0.9</v>
      </c>
      <c r="I39" s="224" t="str">
        <f t="shared" si="18"/>
        <v>X</v>
      </c>
      <c r="J39" s="225">
        <f t="shared" si="19"/>
        <v>0</v>
      </c>
      <c r="K39" s="224" t="str">
        <f t="shared" si="20"/>
        <v>X</v>
      </c>
      <c r="L39" s="225">
        <f t="shared" si="21"/>
        <v>0</v>
      </c>
      <c r="M39" s="226">
        <f t="shared" si="22"/>
        <v>7.33</v>
      </c>
      <c r="N39" s="227">
        <f t="shared" si="23"/>
        <v>0.9</v>
      </c>
      <c r="O39" s="228">
        <f t="shared" si="13"/>
        <v>893</v>
      </c>
      <c r="P39" s="157"/>
      <c r="Q39" s="209">
        <v>733</v>
      </c>
      <c r="R39" s="146">
        <v>9</v>
      </c>
      <c r="S39" s="209">
        <v>0</v>
      </c>
      <c r="T39" s="146">
        <v>0</v>
      </c>
      <c r="U39" s="209">
        <v>0</v>
      </c>
      <c r="V39" s="146">
        <v>0</v>
      </c>
      <c r="W39" s="229">
        <f t="shared" si="14"/>
        <v>733</v>
      </c>
      <c r="X39" s="152">
        <f t="shared" si="15"/>
        <v>9</v>
      </c>
    </row>
    <row r="40" spans="1:25" ht="13.2" customHeight="1" x14ac:dyDescent="0.3">
      <c r="A40" s="219">
        <f t="shared" ca="1" si="12"/>
        <v>1.738978633290611E-2</v>
      </c>
      <c r="B40" s="220">
        <v>25</v>
      </c>
      <c r="C40" s="220">
        <v>33</v>
      </c>
      <c r="D40" s="221" t="e">
        <f>VLOOKUP(C40,Уч!$A$2:$L$34,2,FALSE)</f>
        <v>#N/A</v>
      </c>
      <c r="E40" s="222" t="e">
        <f>VLOOKUP(C40,Уч!$A$2:$L$34,3,FALSE)</f>
        <v>#N/A</v>
      </c>
      <c r="F40" s="223" t="e">
        <f>VLOOKUP(C40,Уч!$A$2:$L$34,5,FALSE)</f>
        <v>#N/A</v>
      </c>
      <c r="G40" s="224">
        <f t="shared" si="16"/>
        <v>6.94</v>
      </c>
      <c r="H40" s="225">
        <f t="shared" si="17"/>
        <v>0.1</v>
      </c>
      <c r="I40" s="224" t="str">
        <f t="shared" si="18"/>
        <v>X</v>
      </c>
      <c r="J40" s="225">
        <f t="shared" si="19"/>
        <v>0</v>
      </c>
      <c r="K40" s="224" t="str">
        <f t="shared" si="20"/>
        <v>X</v>
      </c>
      <c r="L40" s="225">
        <f t="shared" si="21"/>
        <v>0</v>
      </c>
      <c r="M40" s="226">
        <f t="shared" si="22"/>
        <v>6.94</v>
      </c>
      <c r="N40" s="227">
        <f t="shared" si="23"/>
        <v>0.1</v>
      </c>
      <c r="O40" s="228">
        <f t="shared" si="13"/>
        <v>799</v>
      </c>
      <c r="P40" s="157"/>
      <c r="Q40" s="209">
        <v>694</v>
      </c>
      <c r="R40" s="146">
        <v>1</v>
      </c>
      <c r="S40" s="209">
        <v>0</v>
      </c>
      <c r="T40" s="146">
        <v>0</v>
      </c>
      <c r="U40" s="209">
        <v>0</v>
      </c>
      <c r="V40" s="146">
        <v>0</v>
      </c>
      <c r="W40" s="229">
        <f t="shared" si="14"/>
        <v>694</v>
      </c>
      <c r="X40" s="152">
        <f t="shared" si="15"/>
        <v>1</v>
      </c>
    </row>
    <row r="41" spans="1:25" ht="13.2" customHeight="1" x14ac:dyDescent="0.3">
      <c r="A41" s="219">
        <f t="shared" ca="1" si="12"/>
        <v>0.12467278357618894</v>
      </c>
      <c r="B41" s="220">
        <v>26</v>
      </c>
      <c r="C41" s="220">
        <v>22</v>
      </c>
      <c r="D41" s="221" t="str">
        <f>VLOOKUP(C41,Уч!$A$2:$L$34,2,FALSE)</f>
        <v>Чернов Евгений</v>
      </c>
      <c r="E41" s="222" t="str">
        <f>VLOOKUP(C41,Уч!$A$2:$L$34,3,FALSE)</f>
        <v>09.11.1991</v>
      </c>
      <c r="F41" s="223" t="str">
        <f>VLOOKUP(C41,Уч!$A$2:$L$34,5,FALSE)</f>
        <v xml:space="preserve">Краснодарский край  </v>
      </c>
      <c r="G41" s="224" t="str">
        <f t="shared" si="16"/>
        <v>X</v>
      </c>
      <c r="H41" s="225">
        <f t="shared" si="17"/>
        <v>0</v>
      </c>
      <c r="I41" s="224" t="str">
        <f t="shared" si="18"/>
        <v>X</v>
      </c>
      <c r="J41" s="225">
        <f t="shared" si="19"/>
        <v>0</v>
      </c>
      <c r="K41" s="224" t="str">
        <f t="shared" si="20"/>
        <v>X</v>
      </c>
      <c r="L41" s="225">
        <f t="shared" si="21"/>
        <v>0</v>
      </c>
      <c r="M41" s="226">
        <f t="shared" si="22"/>
        <v>0</v>
      </c>
      <c r="N41" s="227">
        <f t="shared" si="23"/>
        <v>0</v>
      </c>
      <c r="O41" s="228">
        <f t="shared" si="13"/>
        <v>0</v>
      </c>
      <c r="P41" s="157"/>
      <c r="Q41" s="209">
        <v>0</v>
      </c>
      <c r="R41" s="146"/>
      <c r="S41" s="209">
        <v>0</v>
      </c>
      <c r="T41" s="146">
        <v>0</v>
      </c>
      <c r="U41" s="209">
        <v>0</v>
      </c>
      <c r="V41" s="146">
        <v>0</v>
      </c>
      <c r="W41" s="229">
        <f t="shared" si="14"/>
        <v>0</v>
      </c>
      <c r="X41" s="152">
        <f t="shared" si="15"/>
        <v>0</v>
      </c>
      <c r="Y41" s="41" t="s">
        <v>240</v>
      </c>
    </row>
    <row r="42" spans="1:25" ht="13.2" customHeight="1" x14ac:dyDescent="0.3">
      <c r="A42" s="219">
        <f t="shared" ca="1" si="12"/>
        <v>0.91459362669625255</v>
      </c>
      <c r="B42" s="220">
        <v>27</v>
      </c>
      <c r="C42" s="220">
        <v>27</v>
      </c>
      <c r="D42" s="221" t="e">
        <f>VLOOKUP(C42,Уч!$A$2:$L$34,2,FALSE)</f>
        <v>#N/A</v>
      </c>
      <c r="E42" s="222" t="e">
        <f>VLOOKUP(C42,Уч!$A$2:$L$34,3,FALSE)</f>
        <v>#N/A</v>
      </c>
      <c r="F42" s="223" t="e">
        <f>VLOOKUP(C42,Уч!$A$2:$L$34,5,FALSE)</f>
        <v>#N/A</v>
      </c>
      <c r="G42" s="224">
        <f t="shared" si="16"/>
        <v>7.12</v>
      </c>
      <c r="H42" s="225">
        <f t="shared" si="17"/>
        <v>1.9</v>
      </c>
      <c r="I42" s="224" t="str">
        <f t="shared" si="18"/>
        <v>X</v>
      </c>
      <c r="J42" s="225">
        <f t="shared" si="19"/>
        <v>0</v>
      </c>
      <c r="K42" s="224" t="str">
        <f t="shared" si="20"/>
        <v>X</v>
      </c>
      <c r="L42" s="225">
        <f t="shared" si="21"/>
        <v>0</v>
      </c>
      <c r="M42" s="226">
        <f t="shared" si="22"/>
        <v>7.12</v>
      </c>
      <c r="N42" s="227">
        <f t="shared" si="23"/>
        <v>1.9</v>
      </c>
      <c r="O42" s="228">
        <f t="shared" si="13"/>
        <v>842</v>
      </c>
      <c r="P42" s="157"/>
      <c r="Q42" s="209">
        <v>712</v>
      </c>
      <c r="R42" s="146">
        <v>19</v>
      </c>
      <c r="S42" s="209">
        <v>0</v>
      </c>
      <c r="T42" s="146">
        <v>0</v>
      </c>
      <c r="U42" s="209">
        <v>0</v>
      </c>
      <c r="V42" s="146">
        <v>0</v>
      </c>
      <c r="W42" s="229">
        <f t="shared" si="14"/>
        <v>712</v>
      </c>
      <c r="X42" s="152">
        <f t="shared" si="15"/>
        <v>19</v>
      </c>
    </row>
    <row r="43" spans="1:25" ht="13.2" customHeight="1" x14ac:dyDescent="0.3">
      <c r="A43" s="219">
        <f t="shared" ca="1" si="12"/>
        <v>0.84839313816191253</v>
      </c>
      <c r="B43" s="220">
        <v>28</v>
      </c>
      <c r="C43" s="220">
        <v>43</v>
      </c>
      <c r="D43" s="221" t="str">
        <f>VLOOKUP(C43,Уч!$A$2:$L$34,2,FALSE)</f>
        <v>Соляков Федор</v>
      </c>
      <c r="E43" s="222" t="str">
        <f>VLOOKUP(C43,Уч!$A$2:$L$34,3,FALSE)</f>
        <v>08.03.1998</v>
      </c>
      <c r="F43" s="223" t="str">
        <f>VLOOKUP(C43,Уч!$A$2:$L$34,5,FALSE)</f>
        <v xml:space="preserve">Кемеровская область  </v>
      </c>
      <c r="G43" s="224">
        <f>IF(Q43=0,"X",Q43/100)</f>
        <v>6.82</v>
      </c>
      <c r="H43" s="225">
        <f>R43/10</f>
        <v>-0.3</v>
      </c>
      <c r="I43" s="224" t="str">
        <f>IF(S43=0,"X",S43/100)</f>
        <v>X</v>
      </c>
      <c r="J43" s="225">
        <f>T43/10</f>
        <v>0</v>
      </c>
      <c r="K43" s="224" t="str">
        <f>IF(U43=0,"X",U43/100)</f>
        <v>X</v>
      </c>
      <c r="L43" s="225">
        <f>V43/10</f>
        <v>0</v>
      </c>
      <c r="M43" s="226">
        <f>MAX(Q43,S43,U43)/100</f>
        <v>6.82</v>
      </c>
      <c r="N43" s="227">
        <f>X43/10</f>
        <v>-0.3</v>
      </c>
      <c r="O43" s="228">
        <f>IF(W43&lt;225,0,IF(W43=0,0,ROUNDDOWN(0.14354*(W43-220)^1.4,0)))</f>
        <v>771</v>
      </c>
      <c r="P43" s="157"/>
      <c r="Q43" s="209">
        <v>682</v>
      </c>
      <c r="R43" s="210" t="s">
        <v>241</v>
      </c>
      <c r="S43" s="209">
        <v>0</v>
      </c>
      <c r="T43" s="146">
        <v>0</v>
      </c>
      <c r="U43" s="209">
        <v>0</v>
      </c>
      <c r="V43" s="146">
        <v>0</v>
      </c>
      <c r="W43" s="229">
        <f>MAX(Q43,S43,U43)</f>
        <v>682</v>
      </c>
      <c r="X43" s="152" t="str">
        <f>IF(W43=Q43,R43,(IF(W43=S43,T43,(IF(W43=U43,V43,)))))</f>
        <v>-3</v>
      </c>
    </row>
    <row r="44" spans="1:25" ht="13.2" customHeight="1" x14ac:dyDescent="0.3">
      <c r="A44" s="219">
        <f t="shared" ca="1" si="12"/>
        <v>6.4072567627425192E-2</v>
      </c>
      <c r="B44" s="220">
        <v>28</v>
      </c>
      <c r="C44" s="220">
        <v>41</v>
      </c>
      <c r="D44" s="221" t="str">
        <f>VLOOKUP(C44,Уч!$A$2:$L$34,2,FALSE)</f>
        <v>Фомичев Андрей</v>
      </c>
      <c r="E44" s="222" t="str">
        <f>VLOOKUP(C44,Уч!$A$2:$L$34,3,FALSE)</f>
        <v>15.12.1996</v>
      </c>
      <c r="F44" s="223" t="str">
        <f>VLOOKUP(C44,Уч!$A$2:$L$34,5,FALSE)</f>
        <v xml:space="preserve">Кемеровская область  </v>
      </c>
      <c r="G44" s="224" t="str">
        <f t="shared" si="16"/>
        <v>X</v>
      </c>
      <c r="H44" s="225">
        <f t="shared" si="17"/>
        <v>0</v>
      </c>
      <c r="I44" s="224" t="str">
        <f t="shared" si="18"/>
        <v>X</v>
      </c>
      <c r="J44" s="225">
        <f t="shared" si="19"/>
        <v>0</v>
      </c>
      <c r="K44" s="224" t="str">
        <f t="shared" si="20"/>
        <v>X</v>
      </c>
      <c r="L44" s="225">
        <f t="shared" si="21"/>
        <v>0</v>
      </c>
      <c r="M44" s="226">
        <f t="shared" si="22"/>
        <v>0</v>
      </c>
      <c r="N44" s="227">
        <f t="shared" si="23"/>
        <v>0</v>
      </c>
      <c r="O44" s="228">
        <f t="shared" si="13"/>
        <v>0</v>
      </c>
      <c r="P44" s="157"/>
      <c r="Q44" s="209">
        <v>0</v>
      </c>
      <c r="R44" s="210"/>
      <c r="S44" s="209">
        <v>0</v>
      </c>
      <c r="T44" s="146">
        <v>0</v>
      </c>
      <c r="U44" s="209">
        <v>0</v>
      </c>
      <c r="V44" s="146">
        <v>0</v>
      </c>
      <c r="W44" s="229">
        <f t="shared" si="14"/>
        <v>0</v>
      </c>
      <c r="X44" s="152">
        <f t="shared" si="15"/>
        <v>0</v>
      </c>
      <c r="Y44" s="41" t="s">
        <v>240</v>
      </c>
    </row>
    <row r="45" spans="1:25" ht="13.8" x14ac:dyDescent="0.3">
      <c r="B45" s="564"/>
      <c r="C45" s="231"/>
      <c r="E45" s="232"/>
      <c r="F45" s="233"/>
      <c r="G45" s="234"/>
      <c r="H45" s="235"/>
      <c r="I45" s="234"/>
      <c r="J45" s="235"/>
      <c r="K45" s="234"/>
      <c r="L45" s="235"/>
      <c r="M45" s="236"/>
      <c r="N45" s="237"/>
      <c r="O45" s="157"/>
    </row>
    <row r="46" spans="1:25" ht="13.8" x14ac:dyDescent="0.3">
      <c r="B46" s="564"/>
      <c r="C46" s="231"/>
      <c r="E46" s="232"/>
      <c r="F46" s="233"/>
      <c r="G46" s="234"/>
      <c r="H46" s="235"/>
      <c r="I46" s="234"/>
      <c r="J46" s="235"/>
      <c r="K46" s="234"/>
      <c r="L46" s="235"/>
      <c r="M46" s="236"/>
      <c r="N46" s="237"/>
      <c r="O46" s="157"/>
    </row>
    <row r="47" spans="1:25" ht="13.8" x14ac:dyDescent="0.3">
      <c r="B47" s="564"/>
      <c r="C47" s="231"/>
      <c r="E47" s="232"/>
      <c r="F47" s="233"/>
      <c r="G47" s="234"/>
      <c r="H47" s="235"/>
      <c r="I47" s="234"/>
      <c r="J47" s="235"/>
      <c r="K47" s="234"/>
      <c r="L47" s="235"/>
      <c r="M47" s="236"/>
      <c r="N47" s="237"/>
      <c r="O47" s="157"/>
    </row>
    <row r="48" spans="1:25" ht="13.8" x14ac:dyDescent="0.3">
      <c r="B48" s="564"/>
      <c r="C48" s="231"/>
      <c r="E48" s="232"/>
      <c r="F48" s="233"/>
      <c r="G48" s="234"/>
      <c r="H48" s="235"/>
      <c r="I48" s="234"/>
      <c r="J48" s="235"/>
      <c r="K48" s="234"/>
      <c r="L48" s="235"/>
      <c r="M48" s="236"/>
      <c r="N48" s="237"/>
      <c r="O48" s="157"/>
    </row>
    <row r="49" spans="2:15" ht="13.8" x14ac:dyDescent="0.3">
      <c r="B49" s="564"/>
      <c r="C49" s="231"/>
      <c r="E49" s="232"/>
      <c r="F49" s="233"/>
      <c r="G49" s="234"/>
      <c r="H49" s="235"/>
      <c r="I49" s="234"/>
      <c r="J49" s="235"/>
      <c r="K49" s="234"/>
      <c r="L49" s="235"/>
      <c r="M49" s="236"/>
      <c r="N49" s="237"/>
      <c r="O49" s="157"/>
    </row>
    <row r="50" spans="2:15" ht="13.8" x14ac:dyDescent="0.3">
      <c r="B50" s="564"/>
      <c r="C50" s="231"/>
      <c r="E50" s="232"/>
      <c r="F50" s="233"/>
      <c r="G50" s="234"/>
      <c r="H50" s="235"/>
      <c r="I50" s="234"/>
      <c r="J50" s="235"/>
      <c r="K50" s="234"/>
      <c r="L50" s="235"/>
      <c r="M50" s="236"/>
      <c r="N50" s="237"/>
      <c r="O50" s="157"/>
    </row>
    <row r="52" spans="2:15" x14ac:dyDescent="0.25">
      <c r="C52" s="239">
        <v>459</v>
      </c>
      <c r="D52" s="41">
        <f t="shared" ref="D52:D80" ca="1" si="24">RAND()</f>
        <v>0.8963207054826452</v>
      </c>
    </row>
    <row r="53" spans="2:15" x14ac:dyDescent="0.25">
      <c r="C53" s="240">
        <v>506</v>
      </c>
      <c r="D53" s="41">
        <f t="shared" ca="1" si="24"/>
        <v>0.23344382972371802</v>
      </c>
    </row>
    <row r="54" spans="2:15" x14ac:dyDescent="0.25">
      <c r="C54" s="239">
        <v>460</v>
      </c>
      <c r="D54" s="41">
        <f t="shared" ca="1" si="24"/>
        <v>0.39081768269904704</v>
      </c>
    </row>
    <row r="55" spans="2:15" x14ac:dyDescent="0.25">
      <c r="C55" s="240">
        <v>449</v>
      </c>
      <c r="D55" s="41">
        <f t="shared" ca="1" si="24"/>
        <v>0.26828103490218314</v>
      </c>
    </row>
    <row r="56" spans="2:15" x14ac:dyDescent="0.25">
      <c r="C56" s="240">
        <v>103</v>
      </c>
      <c r="D56" s="41">
        <f t="shared" ca="1" si="24"/>
        <v>0.27182074255733357</v>
      </c>
    </row>
    <row r="57" spans="2:15" x14ac:dyDescent="0.25">
      <c r="C57" s="239">
        <v>452</v>
      </c>
      <c r="D57" s="41">
        <f t="shared" ca="1" si="24"/>
        <v>0.45344803666766165</v>
      </c>
    </row>
    <row r="58" spans="2:15" x14ac:dyDescent="0.25">
      <c r="C58" s="239">
        <v>455</v>
      </c>
      <c r="D58" s="41">
        <f t="shared" ca="1" si="24"/>
        <v>0.31287381577286899</v>
      </c>
    </row>
    <row r="59" spans="2:15" x14ac:dyDescent="0.25">
      <c r="C59" s="240">
        <v>319</v>
      </c>
      <c r="D59" s="41">
        <f t="shared" ca="1" si="24"/>
        <v>0.34076706506249776</v>
      </c>
    </row>
    <row r="60" spans="2:15" x14ac:dyDescent="0.25">
      <c r="C60" s="239">
        <v>315</v>
      </c>
      <c r="D60" s="41">
        <f t="shared" ca="1" si="24"/>
        <v>0.39051731505476406</v>
      </c>
    </row>
    <row r="61" spans="2:15" x14ac:dyDescent="0.25">
      <c r="C61" s="239">
        <v>180</v>
      </c>
      <c r="D61" s="41">
        <f t="shared" ca="1" si="24"/>
        <v>0.319522959194385</v>
      </c>
    </row>
    <row r="62" spans="2:15" x14ac:dyDescent="0.25">
      <c r="C62" s="240">
        <v>316</v>
      </c>
      <c r="D62" s="41">
        <f t="shared" ca="1" si="24"/>
        <v>0.47501531417697451</v>
      </c>
    </row>
    <row r="63" spans="2:15" x14ac:dyDescent="0.25">
      <c r="C63" s="240">
        <v>99</v>
      </c>
      <c r="D63" s="41">
        <f t="shared" ca="1" si="24"/>
        <v>0.93453950036622635</v>
      </c>
    </row>
    <row r="64" spans="2:15" x14ac:dyDescent="0.25">
      <c r="C64" s="239">
        <v>52</v>
      </c>
      <c r="D64" s="41">
        <f t="shared" ca="1" si="24"/>
        <v>0.94520996770530985</v>
      </c>
    </row>
    <row r="65" spans="3:4" x14ac:dyDescent="0.25">
      <c r="C65" s="241">
        <v>55</v>
      </c>
      <c r="D65" s="41">
        <f t="shared" ca="1" si="24"/>
        <v>0.4837213626516238</v>
      </c>
    </row>
    <row r="66" spans="3:4" x14ac:dyDescent="0.25">
      <c r="C66" s="239">
        <v>334</v>
      </c>
      <c r="D66" s="41">
        <f t="shared" ca="1" si="24"/>
        <v>0.88096440329597703</v>
      </c>
    </row>
    <row r="67" spans="3:4" x14ac:dyDescent="0.25">
      <c r="C67" s="239">
        <v>63</v>
      </c>
      <c r="D67" s="41">
        <f t="shared" ca="1" si="24"/>
        <v>0.99094881840196258</v>
      </c>
    </row>
    <row r="68" spans="3:4" x14ac:dyDescent="0.25">
      <c r="C68" s="239">
        <v>462</v>
      </c>
      <c r="D68" s="41">
        <f t="shared" ca="1" si="24"/>
        <v>0.24087395488672414</v>
      </c>
    </row>
    <row r="69" spans="3:4" x14ac:dyDescent="0.25">
      <c r="C69" s="242">
        <v>101</v>
      </c>
      <c r="D69" s="41">
        <f t="shared" ca="1" si="24"/>
        <v>0.933214184104739</v>
      </c>
    </row>
    <row r="70" spans="3:4" x14ac:dyDescent="0.25">
      <c r="C70" s="239">
        <v>54</v>
      </c>
      <c r="D70" s="41">
        <f t="shared" ca="1" si="24"/>
        <v>0.82805106344132318</v>
      </c>
    </row>
    <row r="71" spans="3:4" x14ac:dyDescent="0.25">
      <c r="C71" s="239">
        <v>162</v>
      </c>
      <c r="D71" s="41">
        <f t="shared" ca="1" si="24"/>
        <v>0.16709265724042321</v>
      </c>
    </row>
    <row r="72" spans="3:4" x14ac:dyDescent="0.25">
      <c r="C72" s="239">
        <v>96</v>
      </c>
      <c r="D72" s="41">
        <f t="shared" ca="1" si="24"/>
        <v>0.82473564505280095</v>
      </c>
    </row>
    <row r="73" spans="3:4" x14ac:dyDescent="0.25">
      <c r="C73" s="240">
        <v>505</v>
      </c>
      <c r="D73" s="41">
        <f t="shared" ca="1" si="24"/>
        <v>0.14524362917624833</v>
      </c>
    </row>
    <row r="74" spans="3:4" x14ac:dyDescent="0.25">
      <c r="C74" s="240">
        <v>97</v>
      </c>
      <c r="D74" s="41">
        <f t="shared" ca="1" si="24"/>
        <v>0.45039582859751581</v>
      </c>
    </row>
    <row r="75" spans="3:4" x14ac:dyDescent="0.25">
      <c r="C75" s="200"/>
      <c r="D75" s="41">
        <f t="shared" ca="1" si="24"/>
        <v>0.937859723677816</v>
      </c>
    </row>
    <row r="76" spans="3:4" x14ac:dyDescent="0.25">
      <c r="C76" s="200"/>
      <c r="D76" s="41">
        <f t="shared" ca="1" si="24"/>
        <v>0.91422839237828124</v>
      </c>
    </row>
    <row r="77" spans="3:4" x14ac:dyDescent="0.25">
      <c r="C77" s="200"/>
      <c r="D77" s="41">
        <f t="shared" ca="1" si="24"/>
        <v>0.47367958362090934</v>
      </c>
    </row>
    <row r="78" spans="3:4" x14ac:dyDescent="0.25">
      <c r="C78" s="200"/>
      <c r="D78" s="41">
        <f t="shared" ca="1" si="24"/>
        <v>0.83345682950563105</v>
      </c>
    </row>
    <row r="79" spans="3:4" x14ac:dyDescent="0.25">
      <c r="C79" s="200"/>
      <c r="D79" s="41">
        <f t="shared" ca="1" si="24"/>
        <v>0.55079017123573315</v>
      </c>
    </row>
    <row r="80" spans="3:4" x14ac:dyDescent="0.25">
      <c r="C80" s="200"/>
      <c r="D80" s="41">
        <f t="shared" ca="1" si="24"/>
        <v>0.51292291293125925</v>
      </c>
    </row>
  </sheetData>
  <sortState ref="A16:AN27">
    <sortCondition ref="A16:A27"/>
  </sortState>
  <mergeCells count="7">
    <mergeCell ref="B7:N7"/>
    <mergeCell ref="B1:N1"/>
    <mergeCell ref="B2:N2"/>
    <mergeCell ref="B3:N3"/>
    <mergeCell ref="B4:N4"/>
    <mergeCell ref="B5:N5"/>
    <mergeCell ref="B6:N6"/>
  </mergeCells>
  <pageMargins left="0.7" right="0.7" top="0.75" bottom="0.75" header="0.3" footer="0.3"/>
  <pageSetup paperSize="9" orientation="landscape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D661"/>
  </sheetPr>
  <dimension ref="A1:P49"/>
  <sheetViews>
    <sheetView view="pageBreakPreview" zoomScaleSheetLayoutView="100" workbookViewId="0">
      <selection activeCell="Q26" sqref="Q26"/>
    </sheetView>
  </sheetViews>
  <sheetFormatPr defaultColWidth="9.109375" defaultRowHeight="13.2" outlineLevelRow="1" outlineLevelCol="1" x14ac:dyDescent="0.25"/>
  <cols>
    <col min="1" max="1" width="10" style="41" customWidth="1" outlineLevel="1"/>
    <col min="2" max="2" width="5.6640625" style="41" customWidth="1"/>
    <col min="3" max="3" width="5.44140625" style="148" customWidth="1"/>
    <col min="4" max="4" width="20.44140625" style="41" customWidth="1"/>
    <col min="5" max="5" width="9.6640625" style="148" customWidth="1" outlineLevel="1"/>
    <col min="6" max="6" width="18.5546875" style="41" customWidth="1" outlineLevel="1"/>
    <col min="7" max="8" width="10.6640625" style="148" customWidth="1" outlineLevel="1"/>
    <col min="9" max="9" width="10.6640625" style="41" customWidth="1" outlineLevel="1"/>
    <col min="10" max="10" width="10.5546875" style="41" bestFit="1" customWidth="1"/>
    <col min="11" max="11" width="5.6640625" style="149" bestFit="1" customWidth="1"/>
    <col min="12" max="12" width="5.6640625" style="149" customWidth="1"/>
    <col min="13" max="15" width="5" style="234" customWidth="1" outlineLevel="1"/>
    <col min="16" max="16" width="8" style="41" customWidth="1" outlineLevel="1"/>
    <col min="17" max="16384" width="9.109375" style="41"/>
  </cols>
  <sheetData>
    <row r="1" spans="1:16" ht="13.2" customHeight="1" x14ac:dyDescent="0.25">
      <c r="B1" s="805" t="s">
        <v>119</v>
      </c>
      <c r="C1" s="805"/>
      <c r="D1" s="805"/>
      <c r="E1" s="805"/>
      <c r="F1" s="805"/>
      <c r="G1" s="805"/>
      <c r="H1" s="805"/>
      <c r="I1" s="805"/>
      <c r="J1" s="805"/>
      <c r="K1" s="805"/>
      <c r="M1" s="243"/>
      <c r="N1" s="243"/>
      <c r="O1" s="243"/>
      <c r="P1" s="145"/>
    </row>
    <row r="2" spans="1:16" ht="13.2" customHeight="1" x14ac:dyDescent="0.25">
      <c r="B2" s="805" t="s">
        <v>10</v>
      </c>
      <c r="C2" s="805"/>
      <c r="D2" s="805"/>
      <c r="E2" s="805"/>
      <c r="F2" s="805"/>
      <c r="G2" s="805"/>
      <c r="H2" s="805"/>
      <c r="I2" s="805"/>
      <c r="J2" s="805"/>
      <c r="K2" s="805"/>
      <c r="M2" s="243"/>
      <c r="N2" s="243"/>
      <c r="O2" s="243"/>
      <c r="P2" s="145"/>
    </row>
    <row r="3" spans="1:16" ht="13.2" customHeight="1" x14ac:dyDescent="0.25">
      <c r="B3" s="805" t="s">
        <v>351</v>
      </c>
      <c r="C3" s="805"/>
      <c r="D3" s="805"/>
      <c r="E3" s="805"/>
      <c r="F3" s="805"/>
      <c r="G3" s="805"/>
      <c r="H3" s="805"/>
      <c r="I3" s="805"/>
      <c r="J3" s="805"/>
      <c r="K3" s="805"/>
      <c r="M3" s="243"/>
      <c r="N3" s="243"/>
      <c r="O3" s="243"/>
      <c r="P3" s="145"/>
    </row>
    <row r="4" spans="1:16" ht="13.2" customHeight="1" x14ac:dyDescent="0.25">
      <c r="B4" s="805" t="s">
        <v>322</v>
      </c>
      <c r="C4" s="805"/>
      <c r="D4" s="805"/>
      <c r="E4" s="805"/>
      <c r="F4" s="805"/>
      <c r="G4" s="805"/>
      <c r="H4" s="805"/>
      <c r="I4" s="805"/>
      <c r="J4" s="805"/>
      <c r="K4" s="805"/>
      <c r="M4" s="243"/>
      <c r="N4" s="243"/>
      <c r="O4" s="243"/>
      <c r="P4" s="145"/>
    </row>
    <row r="5" spans="1:16" ht="13.2" customHeight="1" x14ac:dyDescent="0.25">
      <c r="B5" s="805" t="s">
        <v>101</v>
      </c>
      <c r="C5" s="805"/>
      <c r="D5" s="805"/>
      <c r="E5" s="805"/>
      <c r="F5" s="805"/>
      <c r="G5" s="805"/>
      <c r="H5" s="805"/>
      <c r="I5" s="805"/>
      <c r="J5" s="805"/>
      <c r="K5" s="805"/>
      <c r="M5" s="243"/>
      <c r="N5" s="243"/>
      <c r="O5" s="243"/>
      <c r="P5" s="145"/>
    </row>
    <row r="6" spans="1:16" ht="13.2" customHeight="1" x14ac:dyDescent="0.25">
      <c r="B6" s="806" t="s">
        <v>12</v>
      </c>
      <c r="C6" s="806"/>
      <c r="D6" s="806"/>
      <c r="E6" s="806"/>
      <c r="F6" s="806"/>
      <c r="G6" s="806"/>
      <c r="H6" s="806"/>
      <c r="I6" s="806"/>
      <c r="J6" s="806"/>
      <c r="K6" s="806"/>
      <c r="M6" s="243"/>
      <c r="N6" s="243"/>
      <c r="O6" s="243"/>
      <c r="P6" s="145"/>
    </row>
    <row r="7" spans="1:16" ht="13.2" customHeight="1" x14ac:dyDescent="0.25">
      <c r="B7" s="801" t="s">
        <v>255</v>
      </c>
      <c r="C7" s="801"/>
      <c r="D7" s="801"/>
      <c r="E7" s="801"/>
      <c r="F7" s="801"/>
      <c r="G7" s="801"/>
      <c r="H7" s="801"/>
      <c r="I7" s="801"/>
      <c r="J7" s="801"/>
      <c r="K7" s="801"/>
      <c r="M7" s="243"/>
      <c r="N7" s="243"/>
      <c r="O7" s="243"/>
      <c r="P7" s="145"/>
    </row>
    <row r="8" spans="1:16" ht="13.2" hidden="1" customHeight="1" x14ac:dyDescent="0.3">
      <c r="C8" s="151"/>
      <c r="D8" s="148"/>
      <c r="G8" s="150"/>
      <c r="M8" s="243"/>
      <c r="N8" s="243"/>
      <c r="O8" s="243"/>
      <c r="P8" s="145"/>
    </row>
    <row r="9" spans="1:16" ht="13.2" hidden="1" customHeight="1" x14ac:dyDescent="0.25">
      <c r="C9" s="147"/>
      <c r="D9" s="38"/>
      <c r="G9" s="150"/>
      <c r="H9" s="150"/>
      <c r="I9" s="147"/>
      <c r="J9" s="147"/>
      <c r="M9" s="243"/>
      <c r="N9" s="243"/>
      <c r="O9" s="243"/>
      <c r="P9" s="152"/>
    </row>
    <row r="10" spans="1:16" ht="13.2" hidden="1" customHeight="1" outlineLevel="1" x14ac:dyDescent="0.3">
      <c r="C10" s="153"/>
      <c r="D10" s="148"/>
      <c r="F10" s="151"/>
      <c r="G10" s="150"/>
      <c r="J10" s="214"/>
      <c r="M10" s="243"/>
      <c r="N10" s="243"/>
      <c r="O10" s="243"/>
      <c r="P10" s="152"/>
    </row>
    <row r="11" spans="1:16" ht="13.2" hidden="1" customHeight="1" x14ac:dyDescent="0.3">
      <c r="C11" s="153"/>
      <c r="D11" s="148"/>
      <c r="G11" s="151"/>
      <c r="H11" s="41"/>
      <c r="J11" s="214"/>
      <c r="M11" s="243"/>
      <c r="N11" s="243"/>
      <c r="O11" s="243"/>
      <c r="P11" s="152"/>
    </row>
    <row r="12" spans="1:16" ht="13.2" customHeight="1" outlineLevel="1" x14ac:dyDescent="0.3">
      <c r="B12" s="203" t="s">
        <v>463</v>
      </c>
      <c r="C12" s="153"/>
      <c r="D12" s="148"/>
      <c r="F12" s="760" t="s">
        <v>335</v>
      </c>
      <c r="G12" s="151"/>
      <c r="H12" s="41"/>
      <c r="J12" s="206" t="s">
        <v>253</v>
      </c>
      <c r="K12" s="207">
        <v>0.46875</v>
      </c>
      <c r="M12" s="243"/>
      <c r="N12" s="243"/>
      <c r="O12" s="243"/>
      <c r="P12" s="152"/>
    </row>
    <row r="13" spans="1:16" ht="13.2" customHeight="1" x14ac:dyDescent="0.25">
      <c r="B13" s="41" t="s">
        <v>261</v>
      </c>
      <c r="J13" s="206" t="s">
        <v>254</v>
      </c>
      <c r="K13" s="248"/>
      <c r="M13" s="243"/>
      <c r="N13" s="243"/>
      <c r="O13" s="243"/>
      <c r="P13" s="145"/>
    </row>
    <row r="14" spans="1:16" s="156" customFormat="1" ht="13.2" customHeight="1" x14ac:dyDescent="0.25">
      <c r="A14" s="154"/>
      <c r="B14" s="154" t="s">
        <v>260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>
        <v>1</v>
      </c>
      <c r="H14" s="154">
        <v>2</v>
      </c>
      <c r="I14" s="154">
        <v>3</v>
      </c>
      <c r="J14" s="154" t="s">
        <v>19</v>
      </c>
      <c r="K14" s="155" t="s">
        <v>29</v>
      </c>
      <c r="L14" s="157"/>
      <c r="M14" s="244"/>
      <c r="N14" s="244"/>
      <c r="O14" s="244"/>
      <c r="P14" s="152"/>
    </row>
    <row r="15" spans="1:16" s="156" customFormat="1" ht="13.2" hidden="1" customHeight="1" x14ac:dyDescent="0.25">
      <c r="F15" s="563" t="s">
        <v>334</v>
      </c>
      <c r="K15" s="157"/>
      <c r="L15" s="157"/>
      <c r="M15" s="244"/>
      <c r="N15" s="244"/>
      <c r="O15" s="244"/>
      <c r="P15" s="152"/>
    </row>
    <row r="16" spans="1:16" ht="15" customHeight="1" x14ac:dyDescent="0.25">
      <c r="B16" s="220">
        <v>1</v>
      </c>
      <c r="C16" s="162">
        <v>116</v>
      </c>
      <c r="D16" s="221" t="s">
        <v>453</v>
      </c>
      <c r="E16" s="222" t="s">
        <v>454</v>
      </c>
      <c r="F16" s="223" t="s">
        <v>448</v>
      </c>
      <c r="G16" s="566">
        <v>13.66</v>
      </c>
      <c r="H16" s="566" t="s">
        <v>464</v>
      </c>
      <c r="I16" s="566" t="s">
        <v>464</v>
      </c>
      <c r="J16" s="324">
        <v>13.66</v>
      </c>
      <c r="K16" s="247">
        <v>708</v>
      </c>
      <c r="L16" s="157"/>
      <c r="M16" s="209"/>
      <c r="N16" s="209"/>
      <c r="O16" s="209"/>
      <c r="P16" s="229"/>
    </row>
    <row r="17" spans="2:16" ht="15" customHeight="1" x14ac:dyDescent="0.25">
      <c r="B17" s="220">
        <v>2</v>
      </c>
      <c r="C17" s="162">
        <v>21</v>
      </c>
      <c r="D17" s="221" t="s">
        <v>314</v>
      </c>
      <c r="E17" s="222">
        <v>36317</v>
      </c>
      <c r="F17" s="223" t="s">
        <v>356</v>
      </c>
      <c r="G17" s="566">
        <v>12.02</v>
      </c>
      <c r="H17" s="566" t="s">
        <v>464</v>
      </c>
      <c r="I17" s="566" t="s">
        <v>464</v>
      </c>
      <c r="J17" s="324">
        <v>12.02</v>
      </c>
      <c r="K17" s="247">
        <v>608</v>
      </c>
      <c r="L17" s="157"/>
      <c r="M17" s="209"/>
      <c r="N17" s="209"/>
      <c r="O17" s="209"/>
      <c r="P17" s="229"/>
    </row>
    <row r="18" spans="2:16" ht="15" customHeight="1" x14ac:dyDescent="0.25">
      <c r="B18" s="220">
        <v>3</v>
      </c>
      <c r="C18" s="162">
        <v>78</v>
      </c>
      <c r="D18" s="221" t="s">
        <v>304</v>
      </c>
      <c r="E18" s="222" t="s">
        <v>305</v>
      </c>
      <c r="F18" s="223" t="s">
        <v>391</v>
      </c>
      <c r="G18" s="566">
        <v>12.27</v>
      </c>
      <c r="H18" s="566" t="s">
        <v>464</v>
      </c>
      <c r="I18" s="566" t="s">
        <v>464</v>
      </c>
      <c r="J18" s="324">
        <v>12.27</v>
      </c>
      <c r="K18" s="247">
        <v>623</v>
      </c>
      <c r="L18" s="157"/>
      <c r="M18" s="209"/>
      <c r="N18" s="209"/>
      <c r="O18" s="209"/>
      <c r="P18" s="229"/>
    </row>
    <row r="19" spans="2:16" ht="15" customHeight="1" x14ac:dyDescent="0.25">
      <c r="B19" s="220">
        <v>4</v>
      </c>
      <c r="C19" s="197">
        <v>71</v>
      </c>
      <c r="D19" s="221" t="s">
        <v>380</v>
      </c>
      <c r="E19" s="222" t="s">
        <v>381</v>
      </c>
      <c r="F19" s="223" t="s">
        <v>383</v>
      </c>
      <c r="G19" s="566">
        <v>14.55</v>
      </c>
      <c r="H19" s="566" t="s">
        <v>464</v>
      </c>
      <c r="I19" s="566" t="s">
        <v>464</v>
      </c>
      <c r="J19" s="324">
        <v>14.55</v>
      </c>
      <c r="K19" s="247">
        <v>762</v>
      </c>
      <c r="L19" s="157"/>
      <c r="M19" s="209"/>
      <c r="N19" s="209"/>
      <c r="O19" s="209"/>
      <c r="P19" s="229"/>
    </row>
    <row r="20" spans="2:16" ht="15" customHeight="1" x14ac:dyDescent="0.25">
      <c r="B20" s="220">
        <v>5</v>
      </c>
      <c r="C20" s="162">
        <v>101</v>
      </c>
      <c r="D20" s="221" t="s">
        <v>427</v>
      </c>
      <c r="E20" s="222" t="s">
        <v>428</v>
      </c>
      <c r="F20" s="223" t="s">
        <v>424</v>
      </c>
      <c r="G20" s="566">
        <v>12.7</v>
      </c>
      <c r="H20" s="566" t="s">
        <v>464</v>
      </c>
      <c r="I20" s="566" t="s">
        <v>464</v>
      </c>
      <c r="J20" s="324">
        <v>12.7</v>
      </c>
      <c r="K20" s="247">
        <v>649</v>
      </c>
      <c r="L20" s="157"/>
      <c r="M20" s="209"/>
      <c r="N20" s="209"/>
      <c r="O20" s="209"/>
      <c r="P20" s="229"/>
    </row>
    <row r="21" spans="2:16" ht="15" customHeight="1" x14ac:dyDescent="0.25">
      <c r="B21" s="220">
        <v>6</v>
      </c>
      <c r="C21" s="162">
        <v>44</v>
      </c>
      <c r="D21" s="221" t="s">
        <v>306</v>
      </c>
      <c r="E21" s="222" t="s">
        <v>307</v>
      </c>
      <c r="F21" s="223" t="s">
        <v>364</v>
      </c>
      <c r="G21" s="566">
        <v>13.22</v>
      </c>
      <c r="H21" s="566" t="s">
        <v>464</v>
      </c>
      <c r="I21" s="566" t="s">
        <v>464</v>
      </c>
      <c r="J21" s="324">
        <v>13.22</v>
      </c>
      <c r="K21" s="247">
        <v>681</v>
      </c>
      <c r="L21" s="157"/>
      <c r="M21" s="209"/>
      <c r="N21" s="209"/>
      <c r="O21" s="209"/>
      <c r="P21" s="229"/>
    </row>
    <row r="22" spans="2:16" ht="15" customHeight="1" x14ac:dyDescent="0.25">
      <c r="B22" s="220">
        <v>7</v>
      </c>
      <c r="C22" s="304">
        <v>77</v>
      </c>
      <c r="D22" s="221" t="s">
        <v>308</v>
      </c>
      <c r="E22" s="222" t="s">
        <v>309</v>
      </c>
      <c r="F22" s="223" t="s">
        <v>391</v>
      </c>
      <c r="G22" s="566">
        <v>11.58</v>
      </c>
      <c r="H22" s="566" t="s">
        <v>464</v>
      </c>
      <c r="I22" s="566" t="s">
        <v>464</v>
      </c>
      <c r="J22" s="324">
        <v>11.58</v>
      </c>
      <c r="K22" s="247">
        <v>581</v>
      </c>
      <c r="L22" s="157"/>
      <c r="M22" s="209"/>
      <c r="N22" s="209"/>
      <c r="O22" s="209"/>
      <c r="P22" s="229"/>
    </row>
    <row r="23" spans="2:16" ht="15" customHeight="1" x14ac:dyDescent="0.25">
      <c r="B23" s="220">
        <v>8</v>
      </c>
      <c r="C23" s="197">
        <v>1</v>
      </c>
      <c r="D23" s="221" t="s">
        <v>312</v>
      </c>
      <c r="E23" s="222" t="s">
        <v>313</v>
      </c>
      <c r="F23" s="223" t="s">
        <v>354</v>
      </c>
      <c r="G23" s="566">
        <v>10.74</v>
      </c>
      <c r="H23" s="566" t="s">
        <v>464</v>
      </c>
      <c r="I23" s="566" t="s">
        <v>464</v>
      </c>
      <c r="J23" s="324">
        <v>10.74</v>
      </c>
      <c r="K23" s="247">
        <v>530</v>
      </c>
      <c r="L23" s="157"/>
      <c r="M23" s="209"/>
      <c r="N23" s="209"/>
      <c r="O23" s="209"/>
      <c r="P23" s="229"/>
    </row>
    <row r="24" spans="2:16" ht="15" customHeight="1" x14ac:dyDescent="0.25">
      <c r="B24" s="220">
        <v>9</v>
      </c>
      <c r="C24" s="162">
        <v>107</v>
      </c>
      <c r="D24" s="221" t="s">
        <v>457</v>
      </c>
      <c r="E24" s="222" t="s">
        <v>458</v>
      </c>
      <c r="F24" s="223" t="s">
        <v>460</v>
      </c>
      <c r="G24" s="566">
        <v>11.6</v>
      </c>
      <c r="H24" s="566" t="s">
        <v>464</v>
      </c>
      <c r="I24" s="566" t="s">
        <v>464</v>
      </c>
      <c r="J24" s="324">
        <v>11.6</v>
      </c>
      <c r="K24" s="247">
        <v>582</v>
      </c>
      <c r="L24" s="157"/>
      <c r="M24" s="209"/>
      <c r="N24" s="209"/>
      <c r="O24" s="209"/>
      <c r="P24" s="229"/>
    </row>
    <row r="25" spans="2:16" ht="15" customHeight="1" x14ac:dyDescent="0.25">
      <c r="B25" s="220">
        <v>10</v>
      </c>
      <c r="C25" s="162">
        <v>88</v>
      </c>
      <c r="D25" s="221" t="s">
        <v>411</v>
      </c>
      <c r="E25" s="222" t="s">
        <v>412</v>
      </c>
      <c r="F25" s="223" t="s">
        <v>399</v>
      </c>
      <c r="G25" s="566">
        <v>12.3</v>
      </c>
      <c r="H25" s="566" t="s">
        <v>464</v>
      </c>
      <c r="I25" s="566" t="s">
        <v>464</v>
      </c>
      <c r="J25" s="324">
        <v>12.3</v>
      </c>
      <c r="K25" s="247">
        <v>625</v>
      </c>
      <c r="L25" s="157"/>
      <c r="M25" s="209"/>
      <c r="N25" s="209"/>
      <c r="O25" s="209"/>
      <c r="P25" s="229"/>
    </row>
    <row r="26" spans="2:16" ht="15" customHeight="1" x14ac:dyDescent="0.25">
      <c r="B26" s="220">
        <v>11</v>
      </c>
      <c r="C26" s="162">
        <v>40</v>
      </c>
      <c r="D26" s="221" t="s">
        <v>375</v>
      </c>
      <c r="E26" s="222" t="s">
        <v>376</v>
      </c>
      <c r="F26" s="223" t="s">
        <v>377</v>
      </c>
      <c r="G26" s="566">
        <v>12.93</v>
      </c>
      <c r="H26" s="566" t="s">
        <v>464</v>
      </c>
      <c r="I26" s="566" t="s">
        <v>464</v>
      </c>
      <c r="J26" s="324">
        <v>12.93</v>
      </c>
      <c r="K26" s="247">
        <v>663</v>
      </c>
      <c r="L26" s="157"/>
      <c r="M26" s="209"/>
      <c r="N26" s="209"/>
      <c r="O26" s="209"/>
      <c r="P26" s="229"/>
    </row>
    <row r="27" spans="2:16" ht="15" customHeight="1" x14ac:dyDescent="0.25">
      <c r="B27" s="220">
        <v>12</v>
      </c>
      <c r="C27" s="162">
        <v>83</v>
      </c>
      <c r="D27" s="221" t="s">
        <v>405</v>
      </c>
      <c r="E27" s="222" t="s">
        <v>406</v>
      </c>
      <c r="F27" s="223" t="s">
        <v>399</v>
      </c>
      <c r="G27" s="566">
        <v>12.7</v>
      </c>
      <c r="H27" s="566" t="s">
        <v>464</v>
      </c>
      <c r="I27" s="566" t="s">
        <v>464</v>
      </c>
      <c r="J27" s="324">
        <v>12.7</v>
      </c>
      <c r="K27" s="247">
        <v>649</v>
      </c>
      <c r="L27" s="157"/>
      <c r="M27" s="209"/>
      <c r="N27" s="209"/>
      <c r="O27" s="209"/>
      <c r="P27" s="229"/>
    </row>
    <row r="28" spans="2:16" ht="15" customHeight="1" x14ac:dyDescent="0.25">
      <c r="B28" s="220">
        <v>13</v>
      </c>
      <c r="C28" s="304">
        <v>86</v>
      </c>
      <c r="D28" s="221" t="s">
        <v>396</v>
      </c>
      <c r="E28" s="222" t="s">
        <v>397</v>
      </c>
      <c r="F28" s="223" t="s">
        <v>399</v>
      </c>
      <c r="G28" s="566">
        <v>13.46</v>
      </c>
      <c r="H28" s="566" t="s">
        <v>464</v>
      </c>
      <c r="I28" s="566" t="s">
        <v>464</v>
      </c>
      <c r="J28" s="324">
        <v>13.46</v>
      </c>
      <c r="K28" s="247">
        <v>695</v>
      </c>
      <c r="L28" s="157"/>
      <c r="M28" s="209"/>
      <c r="N28" s="209"/>
      <c r="O28" s="209"/>
      <c r="P28" s="229"/>
    </row>
    <row r="29" spans="2:16" ht="15" customHeight="1" x14ac:dyDescent="0.25">
      <c r="B29" s="220">
        <v>14</v>
      </c>
      <c r="C29" s="162">
        <v>89</v>
      </c>
      <c r="D29" s="221" t="s">
        <v>402</v>
      </c>
      <c r="E29" s="222" t="s">
        <v>403</v>
      </c>
      <c r="F29" s="223" t="s">
        <v>399</v>
      </c>
      <c r="G29" s="566">
        <v>12.7</v>
      </c>
      <c r="H29" s="566" t="s">
        <v>464</v>
      </c>
      <c r="I29" s="566" t="s">
        <v>464</v>
      </c>
      <c r="J29" s="324">
        <v>12.7</v>
      </c>
      <c r="K29" s="247">
        <v>649</v>
      </c>
      <c r="L29" s="157"/>
      <c r="M29" s="209"/>
      <c r="N29" s="209"/>
      <c r="O29" s="209"/>
      <c r="P29" s="229"/>
    </row>
    <row r="30" spans="2:16" ht="15" customHeight="1" x14ac:dyDescent="0.25">
      <c r="B30" s="220">
        <v>15</v>
      </c>
      <c r="C30" s="162">
        <v>45</v>
      </c>
      <c r="D30" s="221" t="s">
        <v>310</v>
      </c>
      <c r="E30" s="222" t="s">
        <v>311</v>
      </c>
      <c r="F30" s="223" t="s">
        <v>364</v>
      </c>
      <c r="G30" s="566">
        <v>13.56</v>
      </c>
      <c r="H30" s="566" t="s">
        <v>464</v>
      </c>
      <c r="I30" s="566" t="s">
        <v>464</v>
      </c>
      <c r="J30" s="324">
        <v>13.56</v>
      </c>
      <c r="K30" s="247">
        <v>701</v>
      </c>
      <c r="L30" s="157"/>
      <c r="M30" s="209"/>
      <c r="N30" s="209"/>
      <c r="O30" s="209"/>
      <c r="P30" s="229"/>
    </row>
    <row r="31" spans="2:16" ht="15" customHeight="1" x14ac:dyDescent="0.25">
      <c r="B31" s="220">
        <v>16</v>
      </c>
      <c r="C31" s="162">
        <v>99</v>
      </c>
      <c r="D31" s="221" t="s">
        <v>421</v>
      </c>
      <c r="E31" s="222" t="s">
        <v>422</v>
      </c>
      <c r="F31" s="223" t="s">
        <v>424</v>
      </c>
      <c r="G31" s="566">
        <v>10.57</v>
      </c>
      <c r="H31" s="566" t="s">
        <v>464</v>
      </c>
      <c r="I31" s="566" t="s">
        <v>464</v>
      </c>
      <c r="J31" s="324">
        <v>10.57</v>
      </c>
      <c r="K31" s="247">
        <v>520</v>
      </c>
      <c r="L31" s="157"/>
      <c r="M31" s="209"/>
      <c r="N31" s="209"/>
      <c r="O31" s="209"/>
      <c r="P31" s="229"/>
    </row>
    <row r="32" spans="2:16" ht="15" customHeight="1" x14ac:dyDescent="0.25">
      <c r="B32" s="220">
        <v>17</v>
      </c>
      <c r="C32" s="162">
        <v>43</v>
      </c>
      <c r="D32" s="221" t="s">
        <v>371</v>
      </c>
      <c r="E32" s="222" t="s">
        <v>372</v>
      </c>
      <c r="F32" s="223" t="s">
        <v>364</v>
      </c>
      <c r="G32" s="566">
        <v>13.33</v>
      </c>
      <c r="H32" s="566" t="s">
        <v>464</v>
      </c>
      <c r="I32" s="566" t="s">
        <v>464</v>
      </c>
      <c r="J32" s="324">
        <v>13.33</v>
      </c>
      <c r="K32" s="247">
        <v>687</v>
      </c>
      <c r="L32" s="157"/>
      <c r="M32" s="209"/>
      <c r="N32" s="209"/>
      <c r="O32" s="209"/>
      <c r="P32" s="229"/>
    </row>
    <row r="33" spans="2:16" ht="8.4" customHeight="1" x14ac:dyDescent="0.25">
      <c r="B33" s="765"/>
      <c r="C33" s="549"/>
      <c r="D33" s="576"/>
      <c r="E33" s="577"/>
      <c r="F33" s="578"/>
      <c r="G33" s="596"/>
      <c r="H33" s="596"/>
      <c r="I33" s="596"/>
      <c r="J33" s="581"/>
      <c r="K33" s="527"/>
      <c r="L33" s="157"/>
      <c r="M33" s="209"/>
      <c r="N33" s="209"/>
      <c r="O33" s="209"/>
      <c r="P33" s="229"/>
    </row>
    <row r="34" spans="2:16" ht="16.05" customHeight="1" x14ac:dyDescent="0.25">
      <c r="B34" s="557" t="s">
        <v>325</v>
      </c>
      <c r="C34" s="583"/>
      <c r="D34" s="576"/>
      <c r="E34" s="577"/>
      <c r="F34" s="578"/>
      <c r="G34" s="579"/>
      <c r="H34" s="579"/>
      <c r="I34" s="579"/>
      <c r="J34" s="585"/>
      <c r="K34" s="586"/>
      <c r="L34" s="157"/>
      <c r="M34" s="209"/>
      <c r="N34" s="209"/>
      <c r="O34" s="209"/>
      <c r="P34" s="229"/>
    </row>
    <row r="35" spans="2:16" ht="16.05" customHeight="1" x14ac:dyDescent="0.25">
      <c r="B35" s="557" t="s">
        <v>332</v>
      </c>
      <c r="C35" s="575"/>
      <c r="D35" s="576"/>
      <c r="E35" s="577"/>
      <c r="F35" s="578"/>
      <c r="G35" s="579"/>
      <c r="H35" s="579"/>
      <c r="I35" s="579"/>
      <c r="J35" s="585"/>
      <c r="K35" s="586"/>
      <c r="M35" s="209"/>
      <c r="N35" s="209"/>
      <c r="O35" s="209"/>
      <c r="P35" s="229"/>
    </row>
    <row r="36" spans="2:16" ht="16.05" customHeight="1" x14ac:dyDescent="0.25">
      <c r="B36" s="557" t="s">
        <v>333</v>
      </c>
      <c r="C36" s="575"/>
      <c r="D36" s="576"/>
      <c r="E36" s="577"/>
      <c r="F36" s="578"/>
      <c r="G36" s="579"/>
      <c r="H36" s="579"/>
      <c r="I36" s="579"/>
      <c r="J36" s="585"/>
      <c r="K36" s="586"/>
      <c r="L36" s="157"/>
      <c r="M36" s="209"/>
      <c r="N36" s="209"/>
      <c r="O36" s="209"/>
      <c r="P36" s="229"/>
    </row>
    <row r="37" spans="2:16" ht="16.05" customHeight="1" x14ac:dyDescent="0.25">
      <c r="B37" s="568"/>
      <c r="C37" s="568"/>
      <c r="D37" s="326"/>
      <c r="E37" s="327"/>
      <c r="F37" s="570"/>
      <c r="G37" s="584"/>
      <c r="H37" s="584"/>
      <c r="I37" s="584"/>
      <c r="J37" s="329"/>
      <c r="K37" s="411"/>
      <c r="L37" s="157"/>
      <c r="M37" s="209"/>
      <c r="N37" s="209"/>
      <c r="O37" s="209"/>
      <c r="P37" s="229"/>
    </row>
    <row r="38" spans="2:16" ht="13.2" customHeight="1" x14ac:dyDescent="0.25">
      <c r="B38" s="220"/>
      <c r="C38" s="230"/>
      <c r="D38" s="221"/>
      <c r="E38" s="222"/>
      <c r="F38" s="223"/>
      <c r="G38" s="245"/>
      <c r="H38" s="245"/>
      <c r="I38" s="245"/>
      <c r="J38" s="246"/>
      <c r="K38" s="247"/>
      <c r="L38" s="157"/>
      <c r="M38" s="209"/>
      <c r="N38" s="209"/>
      <c r="O38" s="209"/>
      <c r="P38" s="229"/>
    </row>
    <row r="39" spans="2:16" ht="13.2" customHeight="1" x14ac:dyDescent="0.25">
      <c r="B39" s="220"/>
      <c r="C39" s="220"/>
      <c r="D39" s="221"/>
      <c r="E39" s="222"/>
      <c r="F39" s="223"/>
      <c r="G39" s="245"/>
      <c r="H39" s="245"/>
      <c r="I39" s="245"/>
      <c r="J39" s="246"/>
      <c r="K39" s="247"/>
      <c r="L39" s="157"/>
      <c r="M39" s="209"/>
      <c r="N39" s="209"/>
      <c r="O39" s="209"/>
      <c r="P39" s="229"/>
    </row>
    <row r="40" spans="2:16" ht="13.2" customHeight="1" x14ac:dyDescent="0.25">
      <c r="B40" s="220"/>
      <c r="C40" s="220"/>
      <c r="D40" s="221"/>
      <c r="E40" s="222"/>
      <c r="F40" s="223"/>
      <c r="G40" s="245"/>
      <c r="H40" s="245"/>
      <c r="I40" s="245"/>
      <c r="J40" s="246"/>
      <c r="K40" s="247"/>
      <c r="L40" s="157"/>
      <c r="M40" s="209"/>
      <c r="N40" s="209"/>
      <c r="O40" s="209"/>
      <c r="P40" s="229"/>
    </row>
    <row r="41" spans="2:16" ht="13.2" customHeight="1" x14ac:dyDescent="0.25">
      <c r="B41" s="220"/>
      <c r="C41" s="230"/>
      <c r="D41" s="221"/>
      <c r="E41" s="222"/>
      <c r="F41" s="223"/>
      <c r="G41" s="245"/>
      <c r="H41" s="245"/>
      <c r="I41" s="245"/>
      <c r="J41" s="246"/>
      <c r="K41" s="247"/>
      <c r="L41" s="157"/>
      <c r="M41" s="209"/>
      <c r="N41" s="209"/>
      <c r="O41" s="209"/>
      <c r="P41" s="229"/>
    </row>
    <row r="42" spans="2:16" ht="13.2" customHeight="1" x14ac:dyDescent="0.25">
      <c r="B42" s="220"/>
      <c r="C42" s="220"/>
      <c r="D42" s="221"/>
      <c r="E42" s="222"/>
      <c r="F42" s="223"/>
      <c r="G42" s="245"/>
      <c r="H42" s="245"/>
      <c r="I42" s="245"/>
      <c r="J42" s="246"/>
      <c r="K42" s="247"/>
      <c r="M42" s="209"/>
      <c r="N42" s="209"/>
      <c r="O42" s="209"/>
      <c r="P42" s="229"/>
    </row>
    <row r="43" spans="2:16" ht="13.2" customHeight="1" x14ac:dyDescent="0.25">
      <c r="B43" s="220"/>
      <c r="C43" s="220"/>
      <c r="D43" s="221"/>
      <c r="E43" s="222"/>
      <c r="F43" s="223"/>
      <c r="G43" s="245"/>
      <c r="H43" s="245"/>
      <c r="I43" s="245"/>
      <c r="J43" s="246"/>
      <c r="K43" s="247"/>
      <c r="L43" s="157"/>
      <c r="M43" s="209"/>
      <c r="N43" s="209"/>
      <c r="O43" s="209"/>
      <c r="P43" s="229"/>
    </row>
    <row r="44" spans="2:16" ht="13.2" customHeight="1" x14ac:dyDescent="0.25">
      <c r="B44" s="220"/>
      <c r="C44" s="230"/>
      <c r="D44" s="221"/>
      <c r="E44" s="222"/>
      <c r="F44" s="223"/>
      <c r="G44" s="245"/>
      <c r="H44" s="245"/>
      <c r="I44" s="245"/>
      <c r="J44" s="246"/>
      <c r="K44" s="247"/>
      <c r="L44" s="157"/>
      <c r="M44" s="209"/>
      <c r="N44" s="209"/>
      <c r="O44" s="209"/>
      <c r="P44" s="229"/>
    </row>
    <row r="45" spans="2:16" ht="13.2" customHeight="1" x14ac:dyDescent="0.25">
      <c r="B45" s="220"/>
      <c r="C45" s="230"/>
      <c r="D45" s="221"/>
      <c r="E45" s="222"/>
      <c r="F45" s="223"/>
      <c r="G45" s="245"/>
      <c r="H45" s="245"/>
      <c r="I45" s="245"/>
      <c r="J45" s="246"/>
      <c r="K45" s="247"/>
      <c r="L45" s="157"/>
      <c r="M45" s="209"/>
      <c r="N45" s="209"/>
      <c r="O45" s="209"/>
      <c r="P45" s="229"/>
    </row>
    <row r="46" spans="2:16" ht="13.2" customHeight="1" x14ac:dyDescent="0.25">
      <c r="B46" s="220"/>
      <c r="C46" s="220"/>
      <c r="D46" s="221"/>
      <c r="E46" s="222"/>
      <c r="F46" s="223"/>
      <c r="G46" s="245"/>
      <c r="H46" s="245"/>
      <c r="I46" s="245"/>
      <c r="J46" s="246"/>
      <c r="K46" s="247"/>
      <c r="M46" s="209"/>
      <c r="N46" s="209"/>
      <c r="O46" s="209"/>
      <c r="P46" s="229"/>
    </row>
    <row r="47" spans="2:16" ht="13.2" customHeight="1" x14ac:dyDescent="0.25">
      <c r="B47" s="220"/>
      <c r="C47" s="220"/>
      <c r="D47" s="221"/>
      <c r="E47" s="222"/>
      <c r="F47" s="223"/>
      <c r="G47" s="245"/>
      <c r="H47" s="245"/>
      <c r="I47" s="245"/>
      <c r="J47" s="246"/>
      <c r="K47" s="247"/>
      <c r="L47" s="157"/>
      <c r="M47" s="209"/>
      <c r="N47" s="209"/>
      <c r="O47" s="209"/>
      <c r="P47" s="229"/>
    </row>
    <row r="48" spans="2:16" ht="13.2" customHeight="1" x14ac:dyDescent="0.25">
      <c r="B48" s="220"/>
      <c r="C48" s="220"/>
      <c r="D48" s="221"/>
      <c r="E48" s="222"/>
      <c r="F48" s="223"/>
      <c r="G48" s="245"/>
      <c r="H48" s="245"/>
      <c r="I48" s="245"/>
      <c r="J48" s="246"/>
      <c r="K48" s="247"/>
      <c r="L48" s="157"/>
      <c r="M48" s="209"/>
      <c r="N48" s="209"/>
      <c r="O48" s="209"/>
      <c r="P48" s="229"/>
    </row>
    <row r="49" spans="2:16" ht="13.2" customHeight="1" x14ac:dyDescent="0.25">
      <c r="B49" s="220"/>
      <c r="C49" s="220"/>
      <c r="D49" s="221"/>
      <c r="E49" s="222"/>
      <c r="F49" s="223"/>
      <c r="G49" s="245"/>
      <c r="H49" s="245"/>
      <c r="I49" s="245"/>
      <c r="J49" s="246"/>
      <c r="K49" s="247"/>
      <c r="L49" s="157"/>
      <c r="M49" s="209"/>
      <c r="N49" s="209"/>
      <c r="O49" s="209"/>
      <c r="P49" s="229"/>
    </row>
  </sheetData>
  <sortState ref="A16:W32">
    <sortCondition ref="A16:A32"/>
  </sortState>
  <mergeCells count="7">
    <mergeCell ref="B7:K7"/>
    <mergeCell ref="B1:K1"/>
    <mergeCell ref="B2:K2"/>
    <mergeCell ref="B3:K3"/>
    <mergeCell ref="B4:K4"/>
    <mergeCell ref="B5:K5"/>
    <mergeCell ref="B6:K6"/>
  </mergeCells>
  <phoneticPr fontId="0" type="noConversion"/>
  <printOptions horizontalCentered="1"/>
  <pageMargins left="0.23" right="0.17" top="0.32" bottom="0.38" header="0.24" footer="0.26"/>
  <pageSetup paperSize="9" scale="122" orientation="landscape" verticalDpi="300" r:id="rId1"/>
  <headerFooter differentFirst="1" alignWithMargins="0">
    <oddFooter>&amp;LРефери&amp;CСтарший судья&amp;RСудьи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D661"/>
  </sheetPr>
  <dimension ref="A1:P48"/>
  <sheetViews>
    <sheetView view="pageBreakPreview" topLeftCell="A21" zoomScale="90" zoomScaleSheetLayoutView="90" workbookViewId="0">
      <selection activeCell="Q26" sqref="Q26"/>
    </sheetView>
  </sheetViews>
  <sheetFormatPr defaultColWidth="9.109375" defaultRowHeight="13.2" outlineLevelRow="1" outlineLevelCol="1" x14ac:dyDescent="0.25"/>
  <cols>
    <col min="1" max="1" width="10" style="41" customWidth="1" outlineLevel="1"/>
    <col min="2" max="2" width="5.6640625" style="41" customWidth="1"/>
    <col min="3" max="3" width="5.44140625" style="761" customWidth="1"/>
    <col min="4" max="4" width="20.44140625" style="41" customWidth="1"/>
    <col min="5" max="5" width="9.6640625" style="761" customWidth="1" outlineLevel="1"/>
    <col min="6" max="6" width="18.5546875" style="41" customWidth="1" outlineLevel="1"/>
    <col min="7" max="8" width="10.6640625" style="761" customWidth="1" outlineLevel="1"/>
    <col min="9" max="9" width="10.6640625" style="41" customWidth="1" outlineLevel="1"/>
    <col min="10" max="10" width="10.5546875" style="41" bestFit="1" customWidth="1"/>
    <col min="11" max="11" width="5.6640625" style="149" bestFit="1" customWidth="1"/>
    <col min="12" max="12" width="5.6640625" style="149" customWidth="1"/>
    <col min="13" max="15" width="5" style="234" customWidth="1" outlineLevel="1"/>
    <col min="16" max="16" width="8" style="41" customWidth="1" outlineLevel="1"/>
    <col min="17" max="16384" width="9.109375" style="41"/>
  </cols>
  <sheetData>
    <row r="1" spans="1:16" ht="13.2" customHeight="1" x14ac:dyDescent="0.25">
      <c r="B1" s="805" t="s">
        <v>119</v>
      </c>
      <c r="C1" s="805"/>
      <c r="D1" s="805"/>
      <c r="E1" s="805"/>
      <c r="F1" s="805"/>
      <c r="G1" s="805"/>
      <c r="H1" s="805"/>
      <c r="I1" s="805"/>
      <c r="J1" s="805"/>
      <c r="K1" s="805"/>
      <c r="M1" s="243"/>
      <c r="N1" s="243"/>
      <c r="O1" s="243"/>
      <c r="P1" s="145"/>
    </row>
    <row r="2" spans="1:16" ht="13.2" customHeight="1" x14ac:dyDescent="0.25">
      <c r="B2" s="805" t="s">
        <v>10</v>
      </c>
      <c r="C2" s="805"/>
      <c r="D2" s="805"/>
      <c r="E2" s="805"/>
      <c r="F2" s="805"/>
      <c r="G2" s="805"/>
      <c r="H2" s="805"/>
      <c r="I2" s="805"/>
      <c r="J2" s="805"/>
      <c r="K2" s="805"/>
      <c r="M2" s="243"/>
      <c r="N2" s="243"/>
      <c r="O2" s="243"/>
      <c r="P2" s="145"/>
    </row>
    <row r="3" spans="1:16" ht="13.2" customHeight="1" x14ac:dyDescent="0.25">
      <c r="B3" s="805" t="s">
        <v>351</v>
      </c>
      <c r="C3" s="805"/>
      <c r="D3" s="805"/>
      <c r="E3" s="805"/>
      <c r="F3" s="805"/>
      <c r="G3" s="805"/>
      <c r="H3" s="805"/>
      <c r="I3" s="805"/>
      <c r="J3" s="805"/>
      <c r="K3" s="805"/>
      <c r="M3" s="243"/>
      <c r="N3" s="243"/>
      <c r="O3" s="243"/>
      <c r="P3" s="145"/>
    </row>
    <row r="4" spans="1:16" ht="13.2" customHeight="1" x14ac:dyDescent="0.25">
      <c r="B4" s="805" t="s">
        <v>322</v>
      </c>
      <c r="C4" s="805"/>
      <c r="D4" s="805"/>
      <c r="E4" s="805"/>
      <c r="F4" s="805"/>
      <c r="G4" s="805"/>
      <c r="H4" s="805"/>
      <c r="I4" s="805"/>
      <c r="J4" s="805"/>
      <c r="K4" s="805"/>
      <c r="M4" s="243"/>
      <c r="N4" s="243"/>
      <c r="O4" s="243"/>
      <c r="P4" s="145"/>
    </row>
    <row r="5" spans="1:16" ht="13.2" customHeight="1" x14ac:dyDescent="0.25">
      <c r="B5" s="805" t="s">
        <v>101</v>
      </c>
      <c r="C5" s="805"/>
      <c r="D5" s="805"/>
      <c r="E5" s="805"/>
      <c r="F5" s="805"/>
      <c r="G5" s="805"/>
      <c r="H5" s="805"/>
      <c r="I5" s="805"/>
      <c r="J5" s="805"/>
      <c r="K5" s="805"/>
      <c r="M5" s="243"/>
      <c r="N5" s="243"/>
      <c r="O5" s="243"/>
      <c r="P5" s="145"/>
    </row>
    <row r="6" spans="1:16" ht="13.2" customHeight="1" x14ac:dyDescent="0.25">
      <c r="B6" s="806" t="s">
        <v>12</v>
      </c>
      <c r="C6" s="806"/>
      <c r="D6" s="806"/>
      <c r="E6" s="806"/>
      <c r="F6" s="806"/>
      <c r="G6" s="806"/>
      <c r="H6" s="806"/>
      <c r="I6" s="806"/>
      <c r="J6" s="806"/>
      <c r="K6" s="806"/>
      <c r="M6" s="243"/>
      <c r="N6" s="243"/>
      <c r="O6" s="243"/>
      <c r="P6" s="145"/>
    </row>
    <row r="7" spans="1:16" ht="13.2" customHeight="1" x14ac:dyDescent="0.25">
      <c r="B7" s="801" t="s">
        <v>255</v>
      </c>
      <c r="C7" s="801"/>
      <c r="D7" s="801"/>
      <c r="E7" s="801"/>
      <c r="F7" s="801"/>
      <c r="G7" s="801"/>
      <c r="H7" s="801"/>
      <c r="I7" s="801"/>
      <c r="J7" s="801"/>
      <c r="K7" s="801"/>
      <c r="M7" s="243"/>
      <c r="N7" s="243"/>
      <c r="O7" s="243"/>
      <c r="P7" s="145"/>
    </row>
    <row r="8" spans="1:16" ht="13.2" hidden="1" customHeight="1" x14ac:dyDescent="0.3">
      <c r="C8" s="151"/>
      <c r="D8" s="761"/>
      <c r="G8" s="150"/>
      <c r="M8" s="243"/>
      <c r="N8" s="243"/>
      <c r="O8" s="243"/>
      <c r="P8" s="145"/>
    </row>
    <row r="9" spans="1:16" ht="13.2" hidden="1" customHeight="1" x14ac:dyDescent="0.25">
      <c r="C9" s="147"/>
      <c r="D9" s="38"/>
      <c r="G9" s="150"/>
      <c r="H9" s="150"/>
      <c r="I9" s="147"/>
      <c r="J9" s="147"/>
      <c r="M9" s="243"/>
      <c r="N9" s="243"/>
      <c r="O9" s="243"/>
      <c r="P9" s="152"/>
    </row>
    <row r="10" spans="1:16" ht="13.2" hidden="1" customHeight="1" outlineLevel="1" x14ac:dyDescent="0.3">
      <c r="C10" s="153"/>
      <c r="D10" s="761"/>
      <c r="F10" s="151"/>
      <c r="G10" s="150"/>
      <c r="J10" s="214"/>
      <c r="M10" s="243"/>
      <c r="N10" s="243"/>
      <c r="O10" s="243"/>
      <c r="P10" s="152"/>
    </row>
    <row r="11" spans="1:16" ht="13.2" hidden="1" customHeight="1" x14ac:dyDescent="0.3">
      <c r="C11" s="153"/>
      <c r="D11" s="761"/>
      <c r="G11" s="151"/>
      <c r="H11" s="41"/>
      <c r="J11" s="214"/>
      <c r="M11" s="243"/>
      <c r="N11" s="243"/>
      <c r="O11" s="243"/>
      <c r="P11" s="152"/>
    </row>
    <row r="12" spans="1:16" ht="13.2" customHeight="1" outlineLevel="1" x14ac:dyDescent="0.3">
      <c r="B12" s="203" t="s">
        <v>463</v>
      </c>
      <c r="C12" s="153"/>
      <c r="D12" s="761"/>
      <c r="F12" s="760" t="s">
        <v>334</v>
      </c>
      <c r="G12" s="151"/>
      <c r="H12" s="41"/>
      <c r="J12" s="206" t="s">
        <v>253</v>
      </c>
      <c r="K12" s="207">
        <v>0.52083333333333337</v>
      </c>
      <c r="M12" s="243"/>
      <c r="N12" s="243"/>
      <c r="O12" s="243"/>
      <c r="P12" s="152"/>
    </row>
    <row r="13" spans="1:16" ht="13.2" customHeight="1" x14ac:dyDescent="0.25">
      <c r="B13" s="41" t="s">
        <v>261</v>
      </c>
      <c r="J13" s="206" t="s">
        <v>254</v>
      </c>
      <c r="K13" s="248"/>
      <c r="M13" s="243"/>
      <c r="N13" s="243"/>
      <c r="O13" s="243"/>
      <c r="P13" s="145"/>
    </row>
    <row r="14" spans="1:16" s="760" customFormat="1" ht="13.2" customHeight="1" x14ac:dyDescent="0.25">
      <c r="A14" s="154"/>
      <c r="B14" s="154" t="s">
        <v>260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>
        <v>1</v>
      </c>
      <c r="H14" s="154">
        <v>2</v>
      </c>
      <c r="I14" s="154">
        <v>3</v>
      </c>
      <c r="J14" s="154" t="s">
        <v>19</v>
      </c>
      <c r="K14" s="155" t="s">
        <v>29</v>
      </c>
      <c r="L14" s="157"/>
      <c r="M14" s="244"/>
      <c r="N14" s="244"/>
      <c r="O14" s="244"/>
      <c r="P14" s="152"/>
    </row>
    <row r="15" spans="1:16" s="760" customFormat="1" ht="13.2" hidden="1" customHeight="1" x14ac:dyDescent="0.25">
      <c r="F15" s="760" t="s">
        <v>334</v>
      </c>
      <c r="K15" s="157"/>
      <c r="L15" s="157"/>
      <c r="M15" s="244"/>
      <c r="N15" s="244"/>
      <c r="O15" s="244"/>
      <c r="P15" s="152"/>
    </row>
    <row r="16" spans="1:16" ht="15" customHeight="1" x14ac:dyDescent="0.25">
      <c r="B16" s="220">
        <v>1</v>
      </c>
      <c r="C16" s="162">
        <v>22</v>
      </c>
      <c r="D16" s="221" t="s">
        <v>285</v>
      </c>
      <c r="E16" s="222" t="s">
        <v>286</v>
      </c>
      <c r="F16" s="223" t="s">
        <v>356</v>
      </c>
      <c r="G16" s="566">
        <v>13.46</v>
      </c>
      <c r="H16" s="566" t="s">
        <v>464</v>
      </c>
      <c r="I16" s="566" t="s">
        <v>464</v>
      </c>
      <c r="J16" s="324">
        <v>13.46</v>
      </c>
      <c r="K16" s="247">
        <v>695</v>
      </c>
      <c r="L16" s="157"/>
      <c r="M16" s="209"/>
      <c r="N16" s="209"/>
      <c r="O16" s="209"/>
      <c r="P16" s="229"/>
    </row>
    <row r="17" spans="2:16" ht="15" customHeight="1" x14ac:dyDescent="0.25">
      <c r="B17" s="220">
        <v>2</v>
      </c>
      <c r="C17" s="162">
        <v>115</v>
      </c>
      <c r="D17" s="221" t="s">
        <v>450</v>
      </c>
      <c r="E17" s="222" t="s">
        <v>451</v>
      </c>
      <c r="F17" s="223" t="s">
        <v>448</v>
      </c>
      <c r="G17" s="566">
        <v>14.55</v>
      </c>
      <c r="H17" s="566" t="s">
        <v>464</v>
      </c>
      <c r="I17" s="566" t="s">
        <v>464</v>
      </c>
      <c r="J17" s="324">
        <v>14.55</v>
      </c>
      <c r="K17" s="247">
        <v>762</v>
      </c>
      <c r="L17" s="157"/>
      <c r="M17" s="209"/>
      <c r="N17" s="209"/>
      <c r="O17" s="209"/>
      <c r="P17" s="229"/>
    </row>
    <row r="18" spans="2:16" ht="15" customHeight="1" x14ac:dyDescent="0.25">
      <c r="B18" s="220">
        <v>3</v>
      </c>
      <c r="C18" s="162">
        <v>74</v>
      </c>
      <c r="D18" s="221" t="s">
        <v>283</v>
      </c>
      <c r="E18" s="222" t="s">
        <v>284</v>
      </c>
      <c r="F18" s="223" t="s">
        <v>386</v>
      </c>
      <c r="G18" s="566">
        <v>11.58</v>
      </c>
      <c r="H18" s="566" t="s">
        <v>464</v>
      </c>
      <c r="I18" s="566" t="s">
        <v>464</v>
      </c>
      <c r="J18" s="324">
        <v>11.58</v>
      </c>
      <c r="K18" s="247">
        <v>581</v>
      </c>
      <c r="L18" s="157"/>
      <c r="M18" s="209"/>
      <c r="N18" s="209"/>
      <c r="O18" s="209"/>
      <c r="P18" s="229"/>
    </row>
    <row r="19" spans="2:16" ht="15" customHeight="1" x14ac:dyDescent="0.25">
      <c r="B19" s="220">
        <v>4</v>
      </c>
      <c r="C19" s="162">
        <v>39</v>
      </c>
      <c r="D19" s="221" t="s">
        <v>367</v>
      </c>
      <c r="E19" s="222" t="s">
        <v>368</v>
      </c>
      <c r="F19" s="223" t="s">
        <v>364</v>
      </c>
      <c r="G19" s="566">
        <v>13.56</v>
      </c>
      <c r="H19" s="566" t="s">
        <v>464</v>
      </c>
      <c r="I19" s="566" t="s">
        <v>464</v>
      </c>
      <c r="J19" s="324">
        <v>13.56</v>
      </c>
      <c r="K19" s="247">
        <v>701</v>
      </c>
      <c r="L19" s="157"/>
      <c r="M19" s="209"/>
      <c r="N19" s="209"/>
      <c r="O19" s="209"/>
      <c r="P19" s="229"/>
    </row>
    <row r="20" spans="2:16" ht="15" customHeight="1" x14ac:dyDescent="0.25">
      <c r="B20" s="220">
        <v>5</v>
      </c>
      <c r="C20" s="162">
        <v>37</v>
      </c>
      <c r="D20" s="221" t="s">
        <v>287</v>
      </c>
      <c r="E20" s="222" t="s">
        <v>288</v>
      </c>
      <c r="F20" s="223" t="s">
        <v>360</v>
      </c>
      <c r="G20" s="566">
        <v>11.6</v>
      </c>
      <c r="H20" s="566" t="s">
        <v>464</v>
      </c>
      <c r="I20" s="566" t="s">
        <v>464</v>
      </c>
      <c r="J20" s="324">
        <v>11.6</v>
      </c>
      <c r="K20" s="247">
        <v>582</v>
      </c>
      <c r="L20" s="157"/>
      <c r="M20" s="209"/>
      <c r="N20" s="209"/>
      <c r="O20" s="209"/>
      <c r="P20" s="229"/>
    </row>
    <row r="21" spans="2:16" ht="15" customHeight="1" x14ac:dyDescent="0.25">
      <c r="B21" s="220">
        <v>6</v>
      </c>
      <c r="C21" s="162">
        <v>81</v>
      </c>
      <c r="D21" s="221" t="s">
        <v>408</v>
      </c>
      <c r="E21" s="222" t="s">
        <v>409</v>
      </c>
      <c r="F21" s="223" t="s">
        <v>399</v>
      </c>
      <c r="G21" s="566">
        <v>13.33</v>
      </c>
      <c r="H21" s="566" t="s">
        <v>464</v>
      </c>
      <c r="I21" s="566" t="s">
        <v>464</v>
      </c>
      <c r="J21" s="324">
        <v>13.33</v>
      </c>
      <c r="K21" s="247">
        <v>687</v>
      </c>
      <c r="L21" s="157"/>
      <c r="M21" s="209"/>
      <c r="N21" s="209"/>
      <c r="O21" s="209"/>
      <c r="P21" s="229"/>
    </row>
    <row r="22" spans="2:16" ht="15" customHeight="1" x14ac:dyDescent="0.25">
      <c r="B22" s="220">
        <v>7</v>
      </c>
      <c r="C22" s="162">
        <v>2</v>
      </c>
      <c r="D22" s="221" t="s">
        <v>293</v>
      </c>
      <c r="E22" s="222" t="s">
        <v>294</v>
      </c>
      <c r="F22" s="223" t="s">
        <v>354</v>
      </c>
      <c r="G22" s="566">
        <v>12.7</v>
      </c>
      <c r="H22" s="566" t="s">
        <v>464</v>
      </c>
      <c r="I22" s="566" t="s">
        <v>464</v>
      </c>
      <c r="J22" s="324">
        <v>12.7</v>
      </c>
      <c r="K22" s="247">
        <v>649</v>
      </c>
      <c r="L22" s="157"/>
      <c r="M22" s="209"/>
      <c r="N22" s="209"/>
      <c r="O22" s="209"/>
      <c r="P22" s="229"/>
    </row>
    <row r="23" spans="2:16" ht="15" customHeight="1" x14ac:dyDescent="0.25">
      <c r="B23" s="220">
        <v>8</v>
      </c>
      <c r="C23" s="162">
        <v>98</v>
      </c>
      <c r="D23" s="221" t="s">
        <v>431</v>
      </c>
      <c r="E23" s="222" t="s">
        <v>432</v>
      </c>
      <c r="F23" s="223" t="s">
        <v>424</v>
      </c>
      <c r="G23" s="566">
        <v>12.02</v>
      </c>
      <c r="H23" s="566" t="s">
        <v>464</v>
      </c>
      <c r="I23" s="566" t="s">
        <v>464</v>
      </c>
      <c r="J23" s="324">
        <v>12.02</v>
      </c>
      <c r="K23" s="247">
        <v>608</v>
      </c>
      <c r="L23" s="157"/>
      <c r="M23" s="209"/>
      <c r="N23" s="209"/>
      <c r="O23" s="209"/>
      <c r="P23" s="229"/>
    </row>
    <row r="24" spans="2:16" ht="15" customHeight="1" x14ac:dyDescent="0.25">
      <c r="B24" s="220">
        <v>9</v>
      </c>
      <c r="C24" s="162">
        <v>76</v>
      </c>
      <c r="D24" s="221" t="s">
        <v>414</v>
      </c>
      <c r="E24" s="222" t="s">
        <v>415</v>
      </c>
      <c r="F24" s="223" t="s">
        <v>417</v>
      </c>
      <c r="G24" s="566">
        <v>12.3</v>
      </c>
      <c r="H24" s="566" t="s">
        <v>464</v>
      </c>
      <c r="I24" s="566" t="s">
        <v>464</v>
      </c>
      <c r="J24" s="324">
        <v>12.3</v>
      </c>
      <c r="K24" s="247">
        <v>625</v>
      </c>
      <c r="L24" s="157"/>
      <c r="M24" s="209"/>
      <c r="N24" s="209"/>
      <c r="O24" s="209"/>
      <c r="P24" s="229"/>
    </row>
    <row r="25" spans="2:16" ht="15" customHeight="1" x14ac:dyDescent="0.25">
      <c r="B25" s="220">
        <v>10</v>
      </c>
      <c r="C25" s="162">
        <v>79</v>
      </c>
      <c r="D25" s="221" t="s">
        <v>291</v>
      </c>
      <c r="E25" s="222" t="s">
        <v>292</v>
      </c>
      <c r="F25" s="223" t="s">
        <v>394</v>
      </c>
      <c r="G25" s="566">
        <v>12.93</v>
      </c>
      <c r="H25" s="566" t="s">
        <v>464</v>
      </c>
      <c r="I25" s="566" t="s">
        <v>464</v>
      </c>
      <c r="J25" s="324">
        <v>12.93</v>
      </c>
      <c r="K25" s="247">
        <v>663</v>
      </c>
      <c r="L25" s="157"/>
      <c r="M25" s="209"/>
      <c r="N25" s="209"/>
      <c r="O25" s="209"/>
      <c r="P25" s="229"/>
    </row>
    <row r="26" spans="2:16" ht="15" customHeight="1" x14ac:dyDescent="0.25">
      <c r="B26" s="220">
        <v>11</v>
      </c>
      <c r="C26" s="162">
        <v>100</v>
      </c>
      <c r="D26" s="221" t="s">
        <v>435</v>
      </c>
      <c r="E26" s="222" t="s">
        <v>436</v>
      </c>
      <c r="F26" s="223" t="s">
        <v>437</v>
      </c>
      <c r="G26" s="566">
        <v>10.74</v>
      </c>
      <c r="H26" s="566" t="s">
        <v>464</v>
      </c>
      <c r="I26" s="566" t="s">
        <v>464</v>
      </c>
      <c r="J26" s="324">
        <v>10.74</v>
      </c>
      <c r="K26" s="247">
        <v>530</v>
      </c>
      <c r="L26" s="157"/>
      <c r="M26" s="209"/>
      <c r="N26" s="209"/>
      <c r="O26" s="209"/>
      <c r="P26" s="229"/>
    </row>
    <row r="27" spans="2:16" ht="15" customHeight="1" x14ac:dyDescent="0.25">
      <c r="B27" s="220">
        <v>12</v>
      </c>
      <c r="C27" s="162">
        <v>41</v>
      </c>
      <c r="D27" s="221" t="s">
        <v>362</v>
      </c>
      <c r="E27" s="222" t="s">
        <v>363</v>
      </c>
      <c r="F27" s="223" t="s">
        <v>364</v>
      </c>
      <c r="G27" s="566">
        <v>13.66</v>
      </c>
      <c r="H27" s="566" t="s">
        <v>464</v>
      </c>
      <c r="I27" s="566" t="s">
        <v>464</v>
      </c>
      <c r="J27" s="324">
        <v>13.66</v>
      </c>
      <c r="K27" s="247">
        <v>708</v>
      </c>
      <c r="L27" s="157"/>
      <c r="M27" s="209"/>
      <c r="N27" s="209"/>
      <c r="O27" s="209"/>
      <c r="P27" s="229"/>
    </row>
    <row r="28" spans="2:16" ht="15" customHeight="1" x14ac:dyDescent="0.25">
      <c r="B28" s="220">
        <v>13</v>
      </c>
      <c r="C28" s="162">
        <v>75</v>
      </c>
      <c r="D28" s="221" t="s">
        <v>289</v>
      </c>
      <c r="E28" s="222" t="s">
        <v>290</v>
      </c>
      <c r="F28" s="223" t="s">
        <v>388</v>
      </c>
      <c r="G28" s="566">
        <v>10.57</v>
      </c>
      <c r="H28" s="566" t="s">
        <v>464</v>
      </c>
      <c r="I28" s="566" t="s">
        <v>464</v>
      </c>
      <c r="J28" s="324">
        <v>10.57</v>
      </c>
      <c r="K28" s="247">
        <v>520</v>
      </c>
      <c r="L28" s="157"/>
      <c r="M28" s="209"/>
      <c r="N28" s="209"/>
      <c r="O28" s="209"/>
      <c r="P28" s="229"/>
    </row>
    <row r="29" spans="2:16" ht="15" customHeight="1" x14ac:dyDescent="0.25">
      <c r="B29" s="220">
        <v>14</v>
      </c>
      <c r="C29" s="162">
        <v>36</v>
      </c>
      <c r="D29" s="221" t="s">
        <v>281</v>
      </c>
      <c r="E29" s="222" t="s">
        <v>282</v>
      </c>
      <c r="F29" s="223" t="s">
        <v>358</v>
      </c>
      <c r="G29" s="566">
        <v>13.22</v>
      </c>
      <c r="H29" s="566" t="s">
        <v>464</v>
      </c>
      <c r="I29" s="566" t="s">
        <v>464</v>
      </c>
      <c r="J29" s="324">
        <v>13.22</v>
      </c>
      <c r="K29" s="247">
        <v>681</v>
      </c>
      <c r="L29" s="157"/>
      <c r="M29" s="209"/>
      <c r="N29" s="209"/>
      <c r="O29" s="209"/>
      <c r="P29" s="229"/>
    </row>
    <row r="30" spans="2:16" ht="15" customHeight="1" x14ac:dyDescent="0.25">
      <c r="B30" s="220">
        <v>15</v>
      </c>
      <c r="C30" s="162">
        <v>114</v>
      </c>
      <c r="D30" s="221" t="s">
        <v>446</v>
      </c>
      <c r="E30" s="222" t="s">
        <v>447</v>
      </c>
      <c r="F30" s="223" t="s">
        <v>448</v>
      </c>
      <c r="G30" s="566">
        <v>12.27</v>
      </c>
      <c r="H30" s="566" t="s">
        <v>464</v>
      </c>
      <c r="I30" s="566" t="s">
        <v>464</v>
      </c>
      <c r="J30" s="324">
        <v>12.27</v>
      </c>
      <c r="K30" s="247">
        <v>623</v>
      </c>
      <c r="L30" s="157"/>
      <c r="M30" s="209"/>
      <c r="N30" s="209"/>
      <c r="O30" s="209"/>
      <c r="P30" s="229"/>
    </row>
    <row r="31" spans="2:16" ht="15" customHeight="1" x14ac:dyDescent="0.25">
      <c r="B31" s="220">
        <v>16</v>
      </c>
      <c r="C31" s="162">
        <v>113</v>
      </c>
      <c r="D31" s="221" t="s">
        <v>440</v>
      </c>
      <c r="E31" s="222" t="s">
        <v>441</v>
      </c>
      <c r="F31" s="223" t="s">
        <v>443</v>
      </c>
      <c r="G31" s="566">
        <v>12.7</v>
      </c>
      <c r="H31" s="566" t="s">
        <v>464</v>
      </c>
      <c r="I31" s="566" t="s">
        <v>464</v>
      </c>
      <c r="J31" s="324">
        <v>12.7</v>
      </c>
      <c r="K31" s="247">
        <v>649</v>
      </c>
      <c r="L31" s="157"/>
      <c r="M31" s="209"/>
      <c r="N31" s="209"/>
      <c r="O31" s="209"/>
      <c r="P31" s="229"/>
    </row>
    <row r="32" spans="2:16" ht="13.2" customHeight="1" x14ac:dyDescent="0.25">
      <c r="B32" s="765"/>
      <c r="C32" s="549"/>
      <c r="D32" s="576"/>
      <c r="E32" s="577"/>
      <c r="F32" s="578"/>
      <c r="G32" s="579"/>
      <c r="H32" s="579"/>
      <c r="I32" s="579"/>
      <c r="J32" s="585"/>
      <c r="K32" s="586"/>
      <c r="L32" s="157"/>
      <c r="M32" s="209"/>
      <c r="N32" s="209"/>
      <c r="O32" s="209"/>
      <c r="P32" s="229"/>
    </row>
    <row r="33" spans="2:16" ht="16.05" customHeight="1" x14ac:dyDescent="0.25">
      <c r="B33" s="557" t="s">
        <v>325</v>
      </c>
      <c r="C33" s="583"/>
      <c r="D33" s="576"/>
      <c r="E33" s="577"/>
      <c r="F33" s="578"/>
      <c r="G33" s="579"/>
      <c r="H33" s="579"/>
      <c r="I33" s="579"/>
      <c r="J33" s="585"/>
      <c r="K33" s="586"/>
      <c r="L33" s="157"/>
      <c r="M33" s="209"/>
      <c r="N33" s="209"/>
      <c r="O33" s="209"/>
      <c r="P33" s="229"/>
    </row>
    <row r="34" spans="2:16" ht="16.05" customHeight="1" x14ac:dyDescent="0.25">
      <c r="B34" s="557" t="s">
        <v>332</v>
      </c>
      <c r="C34" s="765"/>
      <c r="D34" s="576"/>
      <c r="E34" s="577"/>
      <c r="F34" s="578"/>
      <c r="G34" s="579"/>
      <c r="H34" s="579"/>
      <c r="I34" s="579"/>
      <c r="J34" s="585"/>
      <c r="K34" s="586"/>
      <c r="M34" s="209"/>
      <c r="N34" s="209"/>
      <c r="O34" s="209"/>
      <c r="P34" s="229"/>
    </row>
    <row r="35" spans="2:16" ht="16.05" customHeight="1" x14ac:dyDescent="0.25">
      <c r="B35" s="557" t="s">
        <v>333</v>
      </c>
      <c r="C35" s="765"/>
      <c r="D35" s="576"/>
      <c r="E35" s="577"/>
      <c r="F35" s="578"/>
      <c r="G35" s="579"/>
      <c r="H35" s="579"/>
      <c r="I35" s="579"/>
      <c r="J35" s="585"/>
      <c r="K35" s="586"/>
      <c r="L35" s="157"/>
      <c r="M35" s="209"/>
      <c r="N35" s="209"/>
      <c r="O35" s="209"/>
      <c r="P35" s="229"/>
    </row>
    <row r="36" spans="2:16" ht="16.05" customHeight="1" x14ac:dyDescent="0.25">
      <c r="B36" s="568"/>
      <c r="C36" s="568"/>
      <c r="D36" s="326"/>
      <c r="E36" s="327"/>
      <c r="F36" s="570"/>
      <c r="G36" s="584"/>
      <c r="H36" s="584"/>
      <c r="I36" s="584"/>
      <c r="J36" s="329"/>
      <c r="K36" s="411"/>
      <c r="L36" s="157"/>
      <c r="M36" s="209"/>
      <c r="N36" s="209"/>
      <c r="O36" s="209"/>
      <c r="P36" s="229"/>
    </row>
    <row r="37" spans="2:16" ht="13.2" customHeight="1" x14ac:dyDescent="0.25">
      <c r="B37" s="220"/>
      <c r="C37" s="230"/>
      <c r="D37" s="221"/>
      <c r="E37" s="222"/>
      <c r="F37" s="223"/>
      <c r="G37" s="245"/>
      <c r="H37" s="245"/>
      <c r="I37" s="245"/>
      <c r="J37" s="246"/>
      <c r="K37" s="247"/>
      <c r="L37" s="157"/>
      <c r="M37" s="209"/>
      <c r="N37" s="209"/>
      <c r="O37" s="209"/>
      <c r="P37" s="229"/>
    </row>
    <row r="38" spans="2:16" ht="13.2" customHeight="1" x14ac:dyDescent="0.25">
      <c r="B38" s="220"/>
      <c r="C38" s="220"/>
      <c r="D38" s="221"/>
      <c r="E38" s="222"/>
      <c r="F38" s="223"/>
      <c r="G38" s="245"/>
      <c r="H38" s="245"/>
      <c r="I38" s="245"/>
      <c r="J38" s="246"/>
      <c r="K38" s="247"/>
      <c r="L38" s="157"/>
      <c r="M38" s="209"/>
      <c r="N38" s="209"/>
      <c r="O38" s="209"/>
      <c r="P38" s="229"/>
    </row>
    <row r="39" spans="2:16" ht="13.2" customHeight="1" x14ac:dyDescent="0.25">
      <c r="B39" s="220"/>
      <c r="C39" s="220"/>
      <c r="D39" s="221"/>
      <c r="E39" s="222"/>
      <c r="F39" s="223"/>
      <c r="G39" s="245"/>
      <c r="H39" s="245"/>
      <c r="I39" s="245"/>
      <c r="J39" s="246"/>
      <c r="K39" s="247"/>
      <c r="L39" s="157"/>
      <c r="M39" s="209"/>
      <c r="N39" s="209"/>
      <c r="O39" s="209"/>
      <c r="P39" s="229"/>
    </row>
    <row r="40" spans="2:16" ht="13.2" customHeight="1" x14ac:dyDescent="0.25">
      <c r="B40" s="220"/>
      <c r="C40" s="230"/>
      <c r="D40" s="221"/>
      <c r="E40" s="222"/>
      <c r="F40" s="223"/>
      <c r="G40" s="245"/>
      <c r="H40" s="245"/>
      <c r="I40" s="245"/>
      <c r="J40" s="246"/>
      <c r="K40" s="247"/>
      <c r="L40" s="157"/>
      <c r="M40" s="209"/>
      <c r="N40" s="209"/>
      <c r="O40" s="209"/>
      <c r="P40" s="229"/>
    </row>
    <row r="41" spans="2:16" ht="13.2" customHeight="1" x14ac:dyDescent="0.25">
      <c r="B41" s="220"/>
      <c r="C41" s="220"/>
      <c r="D41" s="221"/>
      <c r="E41" s="222"/>
      <c r="F41" s="223"/>
      <c r="G41" s="245"/>
      <c r="H41" s="245"/>
      <c r="I41" s="245"/>
      <c r="J41" s="246"/>
      <c r="K41" s="247"/>
      <c r="M41" s="209"/>
      <c r="N41" s="209"/>
      <c r="O41" s="209"/>
      <c r="P41" s="229"/>
    </row>
    <row r="42" spans="2:16" ht="13.2" customHeight="1" x14ac:dyDescent="0.25">
      <c r="B42" s="220"/>
      <c r="C42" s="220"/>
      <c r="D42" s="221"/>
      <c r="E42" s="222"/>
      <c r="F42" s="223"/>
      <c r="G42" s="245"/>
      <c r="H42" s="245"/>
      <c r="I42" s="245"/>
      <c r="J42" s="246"/>
      <c r="K42" s="247"/>
      <c r="L42" s="157"/>
      <c r="M42" s="209"/>
      <c r="N42" s="209"/>
      <c r="O42" s="209"/>
      <c r="P42" s="229"/>
    </row>
    <row r="43" spans="2:16" ht="13.2" customHeight="1" x14ac:dyDescent="0.25">
      <c r="B43" s="220"/>
      <c r="C43" s="230"/>
      <c r="D43" s="221"/>
      <c r="E43" s="222"/>
      <c r="F43" s="223"/>
      <c r="G43" s="245"/>
      <c r="H43" s="245"/>
      <c r="I43" s="245"/>
      <c r="J43" s="246"/>
      <c r="K43" s="247"/>
      <c r="L43" s="157"/>
      <c r="M43" s="209"/>
      <c r="N43" s="209"/>
      <c r="O43" s="209"/>
      <c r="P43" s="229"/>
    </row>
    <row r="44" spans="2:16" ht="13.2" customHeight="1" x14ac:dyDescent="0.25">
      <c r="B44" s="220"/>
      <c r="C44" s="230"/>
      <c r="D44" s="221"/>
      <c r="E44" s="222"/>
      <c r="F44" s="223"/>
      <c r="G44" s="245"/>
      <c r="H44" s="245"/>
      <c r="I44" s="245"/>
      <c r="J44" s="246"/>
      <c r="K44" s="247"/>
      <c r="L44" s="157"/>
      <c r="M44" s="209"/>
      <c r="N44" s="209"/>
      <c r="O44" s="209"/>
      <c r="P44" s="229"/>
    </row>
    <row r="45" spans="2:16" ht="13.2" customHeight="1" x14ac:dyDescent="0.25">
      <c r="B45" s="220"/>
      <c r="C45" s="220"/>
      <c r="D45" s="221"/>
      <c r="E45" s="222"/>
      <c r="F45" s="223"/>
      <c r="G45" s="245"/>
      <c r="H45" s="245"/>
      <c r="I45" s="245"/>
      <c r="J45" s="246"/>
      <c r="K45" s="247"/>
      <c r="M45" s="209"/>
      <c r="N45" s="209"/>
      <c r="O45" s="209"/>
      <c r="P45" s="229"/>
    </row>
    <row r="46" spans="2:16" ht="13.2" customHeight="1" x14ac:dyDescent="0.25">
      <c r="B46" s="220"/>
      <c r="C46" s="220"/>
      <c r="D46" s="221"/>
      <c r="E46" s="222"/>
      <c r="F46" s="223"/>
      <c r="G46" s="245"/>
      <c r="H46" s="245"/>
      <c r="I46" s="245"/>
      <c r="J46" s="246"/>
      <c r="K46" s="247"/>
      <c r="L46" s="157"/>
      <c r="M46" s="209"/>
      <c r="N46" s="209"/>
      <c r="O46" s="209"/>
      <c r="P46" s="229"/>
    </row>
    <row r="47" spans="2:16" ht="13.2" customHeight="1" x14ac:dyDescent="0.25">
      <c r="B47" s="220"/>
      <c r="C47" s="220"/>
      <c r="D47" s="221"/>
      <c r="E47" s="222"/>
      <c r="F47" s="223"/>
      <c r="G47" s="245"/>
      <c r="H47" s="245"/>
      <c r="I47" s="245"/>
      <c r="J47" s="246"/>
      <c r="K47" s="247"/>
      <c r="L47" s="157"/>
      <c r="M47" s="209"/>
      <c r="N47" s="209"/>
      <c r="O47" s="209"/>
      <c r="P47" s="229"/>
    </row>
    <row r="48" spans="2:16" ht="13.2" customHeight="1" x14ac:dyDescent="0.25">
      <c r="B48" s="220"/>
      <c r="C48" s="220"/>
      <c r="D48" s="221"/>
      <c r="E48" s="222"/>
      <c r="F48" s="223"/>
      <c r="G48" s="245"/>
      <c r="H48" s="245"/>
      <c r="I48" s="245"/>
      <c r="J48" s="246"/>
      <c r="K48" s="247"/>
      <c r="L48" s="157"/>
      <c r="M48" s="209"/>
      <c r="N48" s="209"/>
      <c r="O48" s="209"/>
      <c r="P48" s="229"/>
    </row>
  </sheetData>
  <sortState ref="A16:Y31">
    <sortCondition ref="A16:A31"/>
  </sortState>
  <mergeCells count="7">
    <mergeCell ref="B7:K7"/>
    <mergeCell ref="B1:K1"/>
    <mergeCell ref="B2:K2"/>
    <mergeCell ref="B3:K3"/>
    <mergeCell ref="B4:K4"/>
    <mergeCell ref="B5:K5"/>
    <mergeCell ref="B6:K6"/>
  </mergeCells>
  <pageMargins left="0.25" right="0.25" top="0.28000000000000003" bottom="0.41" header="0.2" footer="0.27"/>
  <pageSetup paperSize="9" scale="125" orientation="landscape" verticalDpi="4294967295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view="pageBreakPreview" zoomScale="60" workbookViewId="0">
      <selection activeCell="C16" sqref="C16:C27"/>
    </sheetView>
  </sheetViews>
  <sheetFormatPr defaultColWidth="9.109375" defaultRowHeight="13.2" outlineLevelRow="1" outlineLevelCol="1" x14ac:dyDescent="0.25"/>
  <cols>
    <col min="1" max="1" width="10" style="41" customWidth="1" outlineLevel="1"/>
    <col min="2" max="2" width="5.6640625" style="41" customWidth="1"/>
    <col min="3" max="3" width="5.44140625" style="564" customWidth="1"/>
    <col min="4" max="4" width="20.44140625" style="41" customWidth="1"/>
    <col min="5" max="5" width="9.6640625" style="564" customWidth="1" outlineLevel="1"/>
    <col min="6" max="6" width="18.5546875" style="41" customWidth="1" outlineLevel="1"/>
    <col min="7" max="8" width="10.6640625" style="564" customWidth="1" outlineLevel="1"/>
    <col min="9" max="9" width="10.6640625" style="41" customWidth="1" outlineLevel="1"/>
    <col min="10" max="10" width="10.5546875" style="41" bestFit="1" customWidth="1"/>
    <col min="11" max="11" width="5.6640625" style="149" bestFit="1" customWidth="1"/>
    <col min="12" max="12" width="5.6640625" style="149" customWidth="1"/>
    <col min="13" max="15" width="5" style="234" customWidth="1" outlineLevel="1"/>
    <col min="16" max="16" width="8" style="41" customWidth="1" outlineLevel="1"/>
    <col min="17" max="16384" width="9.109375" style="41"/>
  </cols>
  <sheetData>
    <row r="1" spans="1:16" ht="13.2" customHeight="1" x14ac:dyDescent="0.25">
      <c r="B1" s="805" t="str">
        <f>Расп!A21</f>
        <v>МИНИСТЕРСТВО СПОРТА РОССИЙСКОЙ ФЕДЕРАЦИИ</v>
      </c>
      <c r="C1" s="805"/>
      <c r="D1" s="805"/>
      <c r="E1" s="805"/>
      <c r="F1" s="805"/>
      <c r="G1" s="805"/>
      <c r="H1" s="805"/>
      <c r="I1" s="805"/>
      <c r="J1" s="805"/>
      <c r="K1" s="805"/>
      <c r="M1" s="243"/>
      <c r="N1" s="243"/>
      <c r="O1" s="243"/>
      <c r="P1" s="145"/>
    </row>
    <row r="2" spans="1:16" ht="13.2" customHeight="1" x14ac:dyDescent="0.25">
      <c r="B2" s="805" t="str">
        <f>Расп!A22</f>
        <v>ВСЕРОССИЙСКАЯ ФЕДЕРАЦИЯ ЛЕГКОЙ АТЛЕТИКИ</v>
      </c>
      <c r="C2" s="805"/>
      <c r="D2" s="805"/>
      <c r="E2" s="805"/>
      <c r="F2" s="805"/>
      <c r="G2" s="805"/>
      <c r="H2" s="805"/>
      <c r="I2" s="805"/>
      <c r="J2" s="805"/>
      <c r="K2" s="805"/>
      <c r="M2" s="243"/>
      <c r="N2" s="243"/>
      <c r="O2" s="243"/>
      <c r="P2" s="145"/>
    </row>
    <row r="3" spans="1:16" ht="13.2" customHeight="1" x14ac:dyDescent="0.25">
      <c r="B3" s="805" t="str">
        <f>Расп!A25</f>
        <v>Командный чемпионат России</v>
      </c>
      <c r="C3" s="805"/>
      <c r="D3" s="805"/>
      <c r="E3" s="805"/>
      <c r="F3" s="805"/>
      <c r="G3" s="805"/>
      <c r="H3" s="805"/>
      <c r="I3" s="805"/>
      <c r="J3" s="805"/>
      <c r="K3" s="805"/>
      <c r="M3" s="243"/>
      <c r="N3" s="243"/>
      <c r="O3" s="243"/>
      <c r="P3" s="145"/>
    </row>
    <row r="4" spans="1:16" ht="13.2" customHeight="1" x14ac:dyDescent="0.25">
      <c r="B4" s="805" t="str">
        <f>Расп!A27</f>
        <v>по многоборью</v>
      </c>
      <c r="C4" s="805"/>
      <c r="D4" s="805"/>
      <c r="E4" s="805"/>
      <c r="F4" s="805"/>
      <c r="G4" s="805"/>
      <c r="H4" s="805"/>
      <c r="I4" s="805"/>
      <c r="J4" s="805"/>
      <c r="K4" s="805"/>
      <c r="M4" s="243"/>
      <c r="N4" s="243"/>
      <c r="O4" s="243"/>
      <c r="P4" s="145"/>
    </row>
    <row r="5" spans="1:16" ht="13.2" customHeight="1" x14ac:dyDescent="0.25">
      <c r="B5" s="805" t="str">
        <f>Расп!A28</f>
        <v>Мужчины</v>
      </c>
      <c r="C5" s="805"/>
      <c r="D5" s="805"/>
      <c r="E5" s="805"/>
      <c r="F5" s="805"/>
      <c r="G5" s="805"/>
      <c r="H5" s="805"/>
      <c r="I5" s="805"/>
      <c r="J5" s="805"/>
      <c r="K5" s="805"/>
      <c r="M5" s="243"/>
      <c r="N5" s="243"/>
      <c r="O5" s="243"/>
      <c r="P5" s="145"/>
    </row>
    <row r="6" spans="1:16" ht="13.2" customHeight="1" x14ac:dyDescent="0.25">
      <c r="B6" s="806" t="s">
        <v>12</v>
      </c>
      <c r="C6" s="806"/>
      <c r="D6" s="806"/>
      <c r="E6" s="806"/>
      <c r="F6" s="806"/>
      <c r="G6" s="806"/>
      <c r="H6" s="806"/>
      <c r="I6" s="806"/>
      <c r="J6" s="806"/>
      <c r="K6" s="806"/>
      <c r="M6" s="243"/>
      <c r="N6" s="243"/>
      <c r="O6" s="243"/>
      <c r="P6" s="145"/>
    </row>
    <row r="7" spans="1:16" ht="13.2" customHeight="1" x14ac:dyDescent="0.25">
      <c r="B7" s="801" t="str">
        <f>Расп!A4</f>
        <v>толкание ядра (7,26 кг)</v>
      </c>
      <c r="C7" s="801"/>
      <c r="D7" s="801"/>
      <c r="E7" s="801"/>
      <c r="F7" s="801"/>
      <c r="G7" s="801"/>
      <c r="H7" s="801"/>
      <c r="I7" s="801"/>
      <c r="J7" s="801"/>
      <c r="K7" s="801"/>
      <c r="M7" s="243"/>
      <c r="N7" s="243"/>
      <c r="O7" s="243"/>
      <c r="P7" s="145"/>
    </row>
    <row r="8" spans="1:16" ht="13.2" hidden="1" customHeight="1" x14ac:dyDescent="0.3">
      <c r="C8" s="151"/>
      <c r="D8" s="564"/>
      <c r="G8" s="150"/>
      <c r="M8" s="243"/>
      <c r="N8" s="243"/>
      <c r="O8" s="243"/>
      <c r="P8" s="145"/>
    </row>
    <row r="9" spans="1:16" ht="13.2" hidden="1" customHeight="1" x14ac:dyDescent="0.25">
      <c r="C9" s="147"/>
      <c r="D9" s="38"/>
      <c r="G9" s="150"/>
      <c r="H9" s="150"/>
      <c r="I9" s="147"/>
      <c r="J9" s="147"/>
      <c r="M9" s="243"/>
      <c r="N9" s="243"/>
      <c r="O9" s="243"/>
      <c r="P9" s="152" t="s">
        <v>22</v>
      </c>
    </row>
    <row r="10" spans="1:16" ht="13.2" hidden="1" customHeight="1" outlineLevel="1" x14ac:dyDescent="0.3">
      <c r="C10" s="153"/>
      <c r="D10" s="564"/>
      <c r="F10" s="151"/>
      <c r="G10" s="150"/>
      <c r="J10" s="214"/>
      <c r="M10" s="243"/>
      <c r="N10" s="243"/>
      <c r="O10" s="243"/>
      <c r="P10" s="152" t="s">
        <v>23</v>
      </c>
    </row>
    <row r="11" spans="1:16" ht="13.2" hidden="1" customHeight="1" x14ac:dyDescent="0.3">
      <c r="C11" s="153"/>
      <c r="D11" s="564"/>
      <c r="G11" s="151"/>
      <c r="H11" s="41"/>
      <c r="J11" s="214"/>
      <c r="M11" s="243"/>
      <c r="N11" s="243"/>
      <c r="O11" s="243"/>
      <c r="P11" s="152"/>
    </row>
    <row r="12" spans="1:16" ht="13.2" customHeight="1" outlineLevel="1" x14ac:dyDescent="0.3">
      <c r="B12" s="203" t="str">
        <f>Расп!A1</f>
        <v>04.09.2019 г.</v>
      </c>
      <c r="C12" s="153"/>
      <c r="D12" s="564"/>
      <c r="F12" s="563" t="s">
        <v>335</v>
      </c>
      <c r="G12" s="151"/>
      <c r="H12" s="41"/>
      <c r="J12" s="206" t="str">
        <f>Расп!B1</f>
        <v>Начало:</v>
      </c>
      <c r="K12" s="207">
        <v>0.53472222222222221</v>
      </c>
      <c r="M12" s="243"/>
      <c r="N12" s="243"/>
      <c r="O12" s="243"/>
      <c r="P12" s="152" t="s">
        <v>24</v>
      </c>
    </row>
    <row r="13" spans="1:16" ht="13.2" customHeight="1" x14ac:dyDescent="0.25">
      <c r="B13" s="41" t="str">
        <f>Расп!A26</f>
        <v>г.Сочи, Адлерский район, стадион "Юность"</v>
      </c>
      <c r="J13" s="206" t="str">
        <f>Расп!C1</f>
        <v>Окончание:</v>
      </c>
      <c r="K13" s="248"/>
      <c r="M13" s="243"/>
      <c r="N13" s="243"/>
      <c r="O13" s="243"/>
      <c r="P13" s="145"/>
    </row>
    <row r="14" spans="1:16" s="563" customFormat="1" ht="13.2" customHeight="1" x14ac:dyDescent="0.25">
      <c r="A14" s="154" t="s">
        <v>67</v>
      </c>
      <c r="B14" s="154" t="s">
        <v>260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>
        <v>1</v>
      </c>
      <c r="H14" s="154">
        <v>2</v>
      </c>
      <c r="I14" s="154">
        <v>3</v>
      </c>
      <c r="J14" s="154" t="s">
        <v>19</v>
      </c>
      <c r="K14" s="155" t="s">
        <v>29</v>
      </c>
      <c r="L14" s="157"/>
      <c r="M14" s="244" t="s">
        <v>31</v>
      </c>
      <c r="N14" s="244" t="s">
        <v>32</v>
      </c>
      <c r="O14" s="244" t="s">
        <v>33</v>
      </c>
      <c r="P14" s="152" t="s">
        <v>28</v>
      </c>
    </row>
    <row r="15" spans="1:16" s="563" customFormat="1" ht="13.2" hidden="1" customHeight="1" x14ac:dyDescent="0.25">
      <c r="F15" s="563" t="s">
        <v>334</v>
      </c>
      <c r="K15" s="157"/>
      <c r="L15" s="157"/>
      <c r="M15" s="244"/>
      <c r="N15" s="244"/>
      <c r="O15" s="244"/>
      <c r="P15" s="152"/>
    </row>
    <row r="16" spans="1:16" ht="13.2" customHeight="1" x14ac:dyDescent="0.25">
      <c r="A16" s="41">
        <f t="shared" ref="A16:A27" ca="1" si="0">RAND()</f>
        <v>0.68410297125105668</v>
      </c>
      <c r="B16" s="220">
        <v>1</v>
      </c>
      <c r="C16" s="162">
        <v>62</v>
      </c>
      <c r="D16" s="221" t="e">
        <f>VLOOKUP(C16,Уч!$A$2:$L$34,2,FALSE)</f>
        <v>#N/A</v>
      </c>
      <c r="E16" s="222" t="e">
        <f>VLOOKUP(C16,Уч!$A$2:$L$34,3,FALSE)</f>
        <v>#N/A</v>
      </c>
      <c r="F16" s="223" t="e">
        <f>VLOOKUP(C16,Уч!$A$2:$L$34,5,FALSE)</f>
        <v>#N/A</v>
      </c>
      <c r="G16" s="566">
        <f t="shared" ref="G16:G27" si="1">IF(M16=0,"X",M16/100)</f>
        <v>13.54</v>
      </c>
      <c r="H16" s="566" t="str">
        <f t="shared" ref="H16:H27" si="2">IF(N16=0,"X",N16/100)</f>
        <v>X</v>
      </c>
      <c r="I16" s="566" t="str">
        <f t="shared" ref="I16:I27" si="3">IF(O16=0,"X",O16/100)</f>
        <v>X</v>
      </c>
      <c r="J16" s="324">
        <f t="shared" ref="J16:J27" si="4">MAX(M16,N16,O16)/100</f>
        <v>13.54</v>
      </c>
      <c r="K16" s="247">
        <f t="shared" ref="K16:K27" si="5">IF(P16&lt;153,0,IF(P16=0,0,ROUNDDOWN(51.39*(P16/100-1.5)^1.05,0)))</f>
        <v>700</v>
      </c>
      <c r="L16" s="157"/>
      <c r="M16" s="209">
        <v>1354</v>
      </c>
      <c r="N16" s="209">
        <v>0</v>
      </c>
      <c r="O16" s="209">
        <v>0</v>
      </c>
      <c r="P16" s="229">
        <f t="shared" ref="P16:P27" si="6">MAX(M16,N16,O16)</f>
        <v>1354</v>
      </c>
    </row>
    <row r="17" spans="1:17" ht="13.2" customHeight="1" x14ac:dyDescent="0.25">
      <c r="A17" s="41">
        <f t="shared" ca="1" si="0"/>
        <v>0.90221038038017265</v>
      </c>
      <c r="B17" s="220">
        <v>2</v>
      </c>
      <c r="C17" s="162">
        <v>81</v>
      </c>
      <c r="D17" s="221" t="str">
        <f>VLOOKUP(C17,Уч!$A$2:$L$34,2,FALSE)</f>
        <v>Исаев Максим</v>
      </c>
      <c r="E17" s="222" t="str">
        <f>VLOOKUP(C17,Уч!$A$2:$L$34,3,FALSE)</f>
        <v>10.07.1997</v>
      </c>
      <c r="F17" s="223" t="str">
        <f>VLOOKUP(C17,Уч!$A$2:$L$34,5,FALSE)</f>
        <v xml:space="preserve">Челябинская область  </v>
      </c>
      <c r="G17" s="566">
        <f t="shared" si="1"/>
        <v>14.31</v>
      </c>
      <c r="H17" s="566" t="str">
        <f t="shared" si="2"/>
        <v>X</v>
      </c>
      <c r="I17" s="566" t="str">
        <f t="shared" si="3"/>
        <v>X</v>
      </c>
      <c r="J17" s="324">
        <f t="shared" si="4"/>
        <v>14.31</v>
      </c>
      <c r="K17" s="247">
        <f t="shared" si="5"/>
        <v>747</v>
      </c>
      <c r="L17" s="157"/>
      <c r="M17" s="209">
        <v>1431</v>
      </c>
      <c r="N17" s="209">
        <v>0</v>
      </c>
      <c r="O17" s="209">
        <v>0</v>
      </c>
      <c r="P17" s="229">
        <f t="shared" si="6"/>
        <v>1431</v>
      </c>
    </row>
    <row r="18" spans="1:17" ht="13.2" customHeight="1" x14ac:dyDescent="0.25">
      <c r="A18" s="41">
        <f t="shared" ca="1" si="0"/>
        <v>0.11412132214631376</v>
      </c>
      <c r="B18" s="220">
        <v>3</v>
      </c>
      <c r="C18" s="162">
        <v>80</v>
      </c>
      <c r="D18" s="221" t="e">
        <f>VLOOKUP(C18,Уч!$A$2:$L$34,2,FALSE)</f>
        <v>#N/A</v>
      </c>
      <c r="E18" s="222" t="e">
        <f>VLOOKUP(C18,Уч!$A$2:$L$34,3,FALSE)</f>
        <v>#N/A</v>
      </c>
      <c r="F18" s="223" t="e">
        <f>VLOOKUP(C18,Уч!$A$2:$L$34,5,FALSE)</f>
        <v>#N/A</v>
      </c>
      <c r="G18" s="566">
        <f t="shared" si="1"/>
        <v>14.28</v>
      </c>
      <c r="H18" s="566" t="str">
        <f t="shared" si="2"/>
        <v>X</v>
      </c>
      <c r="I18" s="566" t="str">
        <f t="shared" si="3"/>
        <v>X</v>
      </c>
      <c r="J18" s="324">
        <f t="shared" si="4"/>
        <v>14.28</v>
      </c>
      <c r="K18" s="247">
        <f t="shared" si="5"/>
        <v>745</v>
      </c>
      <c r="L18" s="157"/>
      <c r="M18" s="209">
        <v>1428</v>
      </c>
      <c r="N18" s="209">
        <v>0</v>
      </c>
      <c r="O18" s="209">
        <v>0</v>
      </c>
      <c r="P18" s="229">
        <f t="shared" si="6"/>
        <v>1428</v>
      </c>
    </row>
    <row r="19" spans="1:17" ht="13.2" customHeight="1" x14ac:dyDescent="0.25">
      <c r="A19" s="41">
        <f t="shared" ca="1" si="0"/>
        <v>0.5003249960358096</v>
      </c>
      <c r="B19" s="220">
        <v>4</v>
      </c>
      <c r="C19" s="162">
        <v>69</v>
      </c>
      <c r="D19" s="221" t="e">
        <f>VLOOKUP(C19,Уч!$A$2:$L$34,2,FALSE)</f>
        <v>#N/A</v>
      </c>
      <c r="E19" s="222" t="e">
        <f>VLOOKUP(C19,Уч!$A$2:$L$34,3,FALSE)</f>
        <v>#N/A</v>
      </c>
      <c r="F19" s="223" t="e">
        <f>VLOOKUP(C19,Уч!$A$2:$L$34,5,FALSE)</f>
        <v>#N/A</v>
      </c>
      <c r="G19" s="566" t="str">
        <f t="shared" si="1"/>
        <v>X</v>
      </c>
      <c r="H19" s="566" t="str">
        <f t="shared" si="2"/>
        <v>X</v>
      </c>
      <c r="I19" s="566" t="str">
        <f t="shared" si="3"/>
        <v>X</v>
      </c>
      <c r="J19" s="324">
        <f t="shared" si="4"/>
        <v>0</v>
      </c>
      <c r="K19" s="247">
        <f t="shared" si="5"/>
        <v>0</v>
      </c>
      <c r="L19" s="157"/>
      <c r="M19" s="209">
        <v>0</v>
      </c>
      <c r="N19" s="209">
        <v>0</v>
      </c>
      <c r="O19" s="209">
        <v>0</v>
      </c>
      <c r="P19" s="229">
        <f t="shared" si="6"/>
        <v>0</v>
      </c>
      <c r="Q19" s="41" t="s">
        <v>242</v>
      </c>
    </row>
    <row r="20" spans="1:17" ht="13.2" customHeight="1" x14ac:dyDescent="0.25">
      <c r="A20" s="41">
        <f t="shared" ca="1" si="0"/>
        <v>0.30931574673270112</v>
      </c>
      <c r="B20" s="220">
        <v>5</v>
      </c>
      <c r="C20" s="162">
        <v>26</v>
      </c>
      <c r="D20" s="221" t="e">
        <f>VLOOKUP(C20,Уч!$A$2:$L$34,2,FALSE)</f>
        <v>#N/A</v>
      </c>
      <c r="E20" s="222" t="e">
        <f>VLOOKUP(C20,Уч!$A$2:$L$34,3,FALSE)</f>
        <v>#N/A</v>
      </c>
      <c r="F20" s="223" t="e">
        <f>VLOOKUP(C20,Уч!$A$2:$L$34,5,FALSE)</f>
        <v>#N/A</v>
      </c>
      <c r="G20" s="566">
        <f t="shared" si="1"/>
        <v>12.73</v>
      </c>
      <c r="H20" s="566" t="str">
        <f t="shared" si="2"/>
        <v>X</v>
      </c>
      <c r="I20" s="566" t="str">
        <f t="shared" si="3"/>
        <v>X</v>
      </c>
      <c r="J20" s="324">
        <f t="shared" si="4"/>
        <v>12.73</v>
      </c>
      <c r="K20" s="247">
        <f t="shared" si="5"/>
        <v>651</v>
      </c>
      <c r="L20" s="157"/>
      <c r="M20" s="209">
        <v>1273</v>
      </c>
      <c r="N20" s="209">
        <v>0</v>
      </c>
      <c r="O20" s="209">
        <v>0</v>
      </c>
      <c r="P20" s="229">
        <f t="shared" si="6"/>
        <v>1273</v>
      </c>
    </row>
    <row r="21" spans="1:17" ht="13.2" customHeight="1" x14ac:dyDescent="0.25">
      <c r="A21" s="41">
        <f t="shared" ca="1" si="0"/>
        <v>0.47651061683242124</v>
      </c>
      <c r="B21" s="220">
        <v>6</v>
      </c>
      <c r="C21" s="162">
        <v>41</v>
      </c>
      <c r="D21" s="221" t="str">
        <f>VLOOKUP(C21,Уч!$A$2:$L$34,2,FALSE)</f>
        <v>Фомичев Андрей</v>
      </c>
      <c r="E21" s="222" t="str">
        <f>VLOOKUP(C21,Уч!$A$2:$L$34,3,FALSE)</f>
        <v>15.12.1996</v>
      </c>
      <c r="F21" s="223" t="str">
        <f>VLOOKUP(C21,Уч!$A$2:$L$34,5,FALSE)</f>
        <v xml:space="preserve">Кемеровская область  </v>
      </c>
      <c r="G21" s="566">
        <f t="shared" si="1"/>
        <v>15.45</v>
      </c>
      <c r="H21" s="566" t="str">
        <f t="shared" si="2"/>
        <v>X</v>
      </c>
      <c r="I21" s="566" t="str">
        <f t="shared" si="3"/>
        <v>X</v>
      </c>
      <c r="J21" s="324">
        <f t="shared" si="4"/>
        <v>15.45</v>
      </c>
      <c r="K21" s="247">
        <f t="shared" si="5"/>
        <v>817</v>
      </c>
      <c r="L21" s="157"/>
      <c r="M21" s="209">
        <v>1545</v>
      </c>
      <c r="N21" s="209">
        <v>0</v>
      </c>
      <c r="O21" s="209">
        <v>0</v>
      </c>
      <c r="P21" s="229">
        <f t="shared" si="6"/>
        <v>1545</v>
      </c>
    </row>
    <row r="22" spans="1:17" ht="13.2" customHeight="1" x14ac:dyDescent="0.25">
      <c r="A22" s="41">
        <f t="shared" ca="1" si="0"/>
        <v>0.18279385129465608</v>
      </c>
      <c r="B22" s="220">
        <v>7</v>
      </c>
      <c r="C22" s="162">
        <v>50</v>
      </c>
      <c r="D22" s="221" t="e">
        <f>VLOOKUP(C22,Уч!$A$2:$L$34,2,FALSE)</f>
        <v>#N/A</v>
      </c>
      <c r="E22" s="222" t="e">
        <f>VLOOKUP(C22,Уч!$A$2:$L$34,3,FALSE)</f>
        <v>#N/A</v>
      </c>
      <c r="F22" s="223" t="e">
        <f>VLOOKUP(C22,Уч!$A$2:$L$34,5,FALSE)</f>
        <v>#N/A</v>
      </c>
      <c r="G22" s="566">
        <f t="shared" si="1"/>
        <v>13.62</v>
      </c>
      <c r="H22" s="566" t="str">
        <f t="shared" si="2"/>
        <v>X</v>
      </c>
      <c r="I22" s="566" t="str">
        <f t="shared" si="3"/>
        <v>X</v>
      </c>
      <c r="J22" s="324">
        <f t="shared" si="4"/>
        <v>13.62</v>
      </c>
      <c r="K22" s="247">
        <f t="shared" si="5"/>
        <v>705</v>
      </c>
      <c r="L22" s="157"/>
      <c r="M22" s="209">
        <v>1362</v>
      </c>
      <c r="N22" s="209">
        <v>0</v>
      </c>
      <c r="O22" s="209">
        <v>0</v>
      </c>
      <c r="P22" s="229">
        <f t="shared" si="6"/>
        <v>1362</v>
      </c>
    </row>
    <row r="23" spans="1:17" ht="13.2" customHeight="1" x14ac:dyDescent="0.25">
      <c r="A23" s="41">
        <f t="shared" ca="1" si="0"/>
        <v>0.20306926885519028</v>
      </c>
      <c r="B23" s="220">
        <v>8</v>
      </c>
      <c r="C23" s="304">
        <v>78</v>
      </c>
      <c r="D23" s="221" t="str">
        <f>VLOOKUP(C23,Уч!$A$2:$L$34,2,FALSE)</f>
        <v>Слаква Максим</v>
      </c>
      <c r="E23" s="222" t="str">
        <f>VLOOKUP(C23,Уч!$A$2:$L$34,3,FALSE)</f>
        <v>10.05.1998</v>
      </c>
      <c r="F23" s="223" t="str">
        <f>VLOOKUP(C23,Уч!$A$2:$L$34,5,FALSE)</f>
        <v xml:space="preserve">Ставропольский край  </v>
      </c>
      <c r="G23" s="566">
        <f t="shared" si="1"/>
        <v>13.64</v>
      </c>
      <c r="H23" s="566" t="str">
        <f t="shared" si="2"/>
        <v>X</v>
      </c>
      <c r="I23" s="566" t="str">
        <f t="shared" si="3"/>
        <v>X</v>
      </c>
      <c r="J23" s="324">
        <f t="shared" si="4"/>
        <v>13.64</v>
      </c>
      <c r="K23" s="247">
        <f t="shared" si="5"/>
        <v>706</v>
      </c>
      <c r="L23" s="157"/>
      <c r="M23" s="209">
        <v>1364</v>
      </c>
      <c r="N23" s="209">
        <v>0</v>
      </c>
      <c r="O23" s="209">
        <v>0</v>
      </c>
      <c r="P23" s="229">
        <f t="shared" si="6"/>
        <v>1364</v>
      </c>
    </row>
    <row r="24" spans="1:17" ht="13.2" customHeight="1" x14ac:dyDescent="0.25">
      <c r="A24" s="41">
        <f t="shared" ca="1" si="0"/>
        <v>0.65916155915275831</v>
      </c>
      <c r="B24" s="220">
        <v>9</v>
      </c>
      <c r="C24" s="162">
        <v>63</v>
      </c>
      <c r="D24" s="221" t="e">
        <f>VLOOKUP(C24,Уч!$A$2:$L$34,2,FALSE)</f>
        <v>#N/A</v>
      </c>
      <c r="E24" s="222" t="e">
        <f>VLOOKUP(C24,Уч!$A$2:$L$34,3,FALSE)</f>
        <v>#N/A</v>
      </c>
      <c r="F24" s="223" t="e">
        <f>VLOOKUP(C24,Уч!$A$2:$L$34,5,FALSE)</f>
        <v>#N/A</v>
      </c>
      <c r="G24" s="566" t="str">
        <f t="shared" si="1"/>
        <v>X</v>
      </c>
      <c r="H24" s="566" t="str">
        <f t="shared" si="2"/>
        <v>X</v>
      </c>
      <c r="I24" s="566" t="str">
        <f t="shared" si="3"/>
        <v>X</v>
      </c>
      <c r="J24" s="324">
        <f t="shared" si="4"/>
        <v>0</v>
      </c>
      <c r="K24" s="247">
        <f t="shared" si="5"/>
        <v>0</v>
      </c>
      <c r="L24" s="157"/>
      <c r="M24" s="209"/>
      <c r="N24" s="209">
        <v>0</v>
      </c>
      <c r="O24" s="209">
        <v>0</v>
      </c>
      <c r="P24" s="229">
        <f t="shared" si="6"/>
        <v>0</v>
      </c>
    </row>
    <row r="25" spans="1:17" ht="13.2" customHeight="1" x14ac:dyDescent="0.25">
      <c r="A25" s="41">
        <f t="shared" ca="1" si="0"/>
        <v>0.26251501221936768</v>
      </c>
      <c r="B25" s="220">
        <v>10</v>
      </c>
      <c r="C25" s="162">
        <v>24</v>
      </c>
      <c r="D25" s="221" t="e">
        <f>VLOOKUP(C25,Уч!$A$2:$L$34,2,FALSE)</f>
        <v>#N/A</v>
      </c>
      <c r="E25" s="222" t="e">
        <f>VLOOKUP(C25,Уч!$A$2:$L$34,3,FALSE)</f>
        <v>#N/A</v>
      </c>
      <c r="F25" s="223" t="e">
        <f>VLOOKUP(C25,Уч!$A$2:$L$34,5,FALSE)</f>
        <v>#N/A</v>
      </c>
      <c r="G25" s="566">
        <f t="shared" si="1"/>
        <v>13.75</v>
      </c>
      <c r="H25" s="566" t="str">
        <f t="shared" si="2"/>
        <v>X</v>
      </c>
      <c r="I25" s="566" t="str">
        <f t="shared" si="3"/>
        <v>X</v>
      </c>
      <c r="J25" s="324">
        <f t="shared" si="4"/>
        <v>13.75</v>
      </c>
      <c r="K25" s="247">
        <f t="shared" si="5"/>
        <v>713</v>
      </c>
      <c r="L25" s="157"/>
      <c r="M25" s="209">
        <v>1375</v>
      </c>
      <c r="N25" s="209">
        <v>0</v>
      </c>
      <c r="O25" s="209">
        <v>0</v>
      </c>
      <c r="P25" s="229">
        <f t="shared" si="6"/>
        <v>1375</v>
      </c>
    </row>
    <row r="26" spans="1:17" ht="13.2" customHeight="1" x14ac:dyDescent="0.25">
      <c r="A26" s="41">
        <f t="shared" ca="1" si="0"/>
        <v>0.20225775635817922</v>
      </c>
      <c r="B26" s="220">
        <v>11</v>
      </c>
      <c r="C26" s="162">
        <v>70</v>
      </c>
      <c r="D26" s="221" t="e">
        <f>VLOOKUP(C26,Уч!$A$2:$L$34,2,FALSE)</f>
        <v>#N/A</v>
      </c>
      <c r="E26" s="222" t="e">
        <f>VLOOKUP(C26,Уч!$A$2:$L$34,3,FALSE)</f>
        <v>#N/A</v>
      </c>
      <c r="F26" s="223" t="e">
        <f>VLOOKUP(C26,Уч!$A$2:$L$34,5,FALSE)</f>
        <v>#N/A</v>
      </c>
      <c r="G26" s="566">
        <f t="shared" si="1"/>
        <v>15.72</v>
      </c>
      <c r="H26" s="566" t="str">
        <f t="shared" si="2"/>
        <v>X</v>
      </c>
      <c r="I26" s="566" t="str">
        <f t="shared" si="3"/>
        <v>X</v>
      </c>
      <c r="J26" s="324">
        <f t="shared" si="4"/>
        <v>15.72</v>
      </c>
      <c r="K26" s="247">
        <f t="shared" si="5"/>
        <v>834</v>
      </c>
      <c r="L26" s="157"/>
      <c r="M26" s="209">
        <v>1572</v>
      </c>
      <c r="N26" s="209">
        <v>0</v>
      </c>
      <c r="O26" s="209">
        <v>0</v>
      </c>
      <c r="P26" s="229">
        <f t="shared" si="6"/>
        <v>1572</v>
      </c>
    </row>
    <row r="27" spans="1:17" ht="13.2" customHeight="1" x14ac:dyDescent="0.25">
      <c r="A27" s="41">
        <f t="shared" ca="1" si="0"/>
        <v>0.42767310687214666</v>
      </c>
      <c r="B27" s="220">
        <v>12</v>
      </c>
      <c r="C27" s="197">
        <v>44</v>
      </c>
      <c r="D27" s="221" t="str">
        <f>VLOOKUP(C27,Уч!$A$2:$L$34,2,FALSE)</f>
        <v>Хамедов Игорь</v>
      </c>
      <c r="E27" s="222" t="str">
        <f>VLOOKUP(C27,Уч!$A$2:$L$34,3,FALSE)</f>
        <v>30.05.1998</v>
      </c>
      <c r="F27" s="223" t="str">
        <f>VLOOKUP(C27,Уч!$A$2:$L$34,5,FALSE)</f>
        <v xml:space="preserve">Кемеровская область  </v>
      </c>
      <c r="G27" s="566" t="str">
        <f t="shared" si="1"/>
        <v>X</v>
      </c>
      <c r="H27" s="566" t="str">
        <f t="shared" si="2"/>
        <v>X</v>
      </c>
      <c r="I27" s="566" t="str">
        <f t="shared" si="3"/>
        <v>X</v>
      </c>
      <c r="J27" s="324">
        <f t="shared" si="4"/>
        <v>0</v>
      </c>
      <c r="K27" s="247">
        <f t="shared" si="5"/>
        <v>0</v>
      </c>
      <c r="L27" s="157"/>
      <c r="M27" s="209"/>
      <c r="N27" s="209">
        <v>0</v>
      </c>
      <c r="O27" s="209">
        <v>0</v>
      </c>
      <c r="P27" s="229">
        <f t="shared" si="6"/>
        <v>0</v>
      </c>
      <c r="Q27" s="41" t="s">
        <v>242</v>
      </c>
    </row>
    <row r="28" spans="1:17" ht="13.2" customHeight="1" x14ac:dyDescent="0.25">
      <c r="A28" s="41">
        <f t="shared" ref="A28:A44" ca="1" si="7">RAND()</f>
        <v>0.3527375935639494</v>
      </c>
      <c r="B28" s="575"/>
      <c r="C28" s="583"/>
      <c r="D28" s="576"/>
      <c r="E28" s="577"/>
      <c r="F28" s="578"/>
      <c r="G28" s="579"/>
      <c r="H28" s="579"/>
      <c r="I28" s="579"/>
      <c r="J28" s="585"/>
      <c r="K28" s="586"/>
      <c r="L28" s="157"/>
      <c r="M28" s="209"/>
      <c r="N28" s="209">
        <v>0</v>
      </c>
      <c r="O28" s="209">
        <v>0</v>
      </c>
      <c r="P28" s="229">
        <f t="shared" ref="P28:P44" si="8">MAX(M28,N28,O28)</f>
        <v>0</v>
      </c>
      <c r="Q28" s="41" t="s">
        <v>242</v>
      </c>
    </row>
    <row r="29" spans="1:17" ht="16.05" customHeight="1" x14ac:dyDescent="0.25">
      <c r="A29" s="41">
        <f t="shared" ca="1" si="7"/>
        <v>0.6054599416023595</v>
      </c>
      <c r="B29" s="557" t="s">
        <v>325</v>
      </c>
      <c r="C29" s="583"/>
      <c r="D29" s="576"/>
      <c r="E29" s="577"/>
      <c r="F29" s="578"/>
      <c r="G29" s="579"/>
      <c r="H29" s="579"/>
      <c r="I29" s="579"/>
      <c r="J29" s="585"/>
      <c r="K29" s="586"/>
      <c r="L29" s="157"/>
      <c r="M29" s="209">
        <v>1223</v>
      </c>
      <c r="N29" s="209">
        <v>0</v>
      </c>
      <c r="O29" s="209">
        <v>0</v>
      </c>
      <c r="P29" s="229">
        <f t="shared" si="8"/>
        <v>1223</v>
      </c>
    </row>
    <row r="30" spans="1:17" ht="16.05" customHeight="1" x14ac:dyDescent="0.25">
      <c r="A30" s="41">
        <f t="shared" ca="1" si="7"/>
        <v>0.93355568604765882</v>
      </c>
      <c r="B30" s="557" t="s">
        <v>332</v>
      </c>
      <c r="C30" s="575"/>
      <c r="D30" s="576"/>
      <c r="E30" s="577"/>
      <c r="F30" s="578"/>
      <c r="G30" s="579"/>
      <c r="H30" s="579"/>
      <c r="I30" s="579"/>
      <c r="J30" s="585"/>
      <c r="K30" s="586"/>
      <c r="M30" s="209"/>
      <c r="N30" s="209">
        <v>0</v>
      </c>
      <c r="O30" s="209">
        <v>0</v>
      </c>
      <c r="P30" s="229">
        <f t="shared" si="8"/>
        <v>0</v>
      </c>
      <c r="Q30" s="41" t="s">
        <v>242</v>
      </c>
    </row>
    <row r="31" spans="1:17" ht="16.05" customHeight="1" x14ac:dyDescent="0.25">
      <c r="A31" s="41">
        <f t="shared" ca="1" si="7"/>
        <v>0.74522153519344325</v>
      </c>
      <c r="B31" s="557" t="s">
        <v>333</v>
      </c>
      <c r="C31" s="575"/>
      <c r="D31" s="576"/>
      <c r="E31" s="577"/>
      <c r="F31" s="578"/>
      <c r="G31" s="579"/>
      <c r="H31" s="579"/>
      <c r="I31" s="579"/>
      <c r="J31" s="585"/>
      <c r="K31" s="586"/>
      <c r="L31" s="157"/>
      <c r="M31" s="209">
        <v>1149</v>
      </c>
      <c r="N31" s="209">
        <v>0</v>
      </c>
      <c r="O31" s="209">
        <v>0</v>
      </c>
      <c r="P31" s="229">
        <f t="shared" si="8"/>
        <v>1149</v>
      </c>
    </row>
    <row r="32" spans="1:17" ht="16.05" customHeight="1" x14ac:dyDescent="0.25">
      <c r="A32" s="41">
        <f t="shared" ca="1" si="7"/>
        <v>0.31830925975283775</v>
      </c>
      <c r="B32" s="568"/>
      <c r="C32" s="568"/>
      <c r="D32" s="326"/>
      <c r="E32" s="327"/>
      <c r="F32" s="570"/>
      <c r="G32" s="584"/>
      <c r="H32" s="584"/>
      <c r="I32" s="584"/>
      <c r="J32" s="329"/>
      <c r="K32" s="411"/>
      <c r="L32" s="157"/>
      <c r="M32" s="209">
        <v>1334</v>
      </c>
      <c r="N32" s="209">
        <v>0</v>
      </c>
      <c r="O32" s="209">
        <v>0</v>
      </c>
      <c r="P32" s="229">
        <f t="shared" si="8"/>
        <v>1334</v>
      </c>
    </row>
    <row r="33" spans="1:17" x14ac:dyDescent="0.25">
      <c r="A33" s="41">
        <f t="shared" ca="1" si="7"/>
        <v>0.18288059248289101</v>
      </c>
      <c r="B33" s="220"/>
      <c r="C33" s="230"/>
      <c r="D33" s="221"/>
      <c r="E33" s="222"/>
      <c r="F33" s="223"/>
      <c r="G33" s="245"/>
      <c r="H33" s="245"/>
      <c r="I33" s="245"/>
      <c r="J33" s="246"/>
      <c r="K33" s="247"/>
      <c r="L33" s="157"/>
      <c r="M33" s="209"/>
      <c r="N33" s="209">
        <v>0</v>
      </c>
      <c r="O33" s="209">
        <v>0</v>
      </c>
      <c r="P33" s="229">
        <f t="shared" si="8"/>
        <v>0</v>
      </c>
      <c r="Q33" s="41" t="s">
        <v>242</v>
      </c>
    </row>
    <row r="34" spans="1:17" x14ac:dyDescent="0.25">
      <c r="A34" s="41">
        <f t="shared" ca="1" si="7"/>
        <v>0.59885630106525445</v>
      </c>
      <c r="B34" s="220"/>
      <c r="C34" s="220"/>
      <c r="D34" s="221"/>
      <c r="E34" s="222"/>
      <c r="F34" s="223"/>
      <c r="G34" s="245"/>
      <c r="H34" s="245"/>
      <c r="I34" s="245"/>
      <c r="J34" s="246"/>
      <c r="K34" s="247"/>
      <c r="L34" s="157"/>
      <c r="M34" s="209"/>
      <c r="N34" s="209">
        <v>0</v>
      </c>
      <c r="O34" s="209">
        <v>0</v>
      </c>
      <c r="P34" s="229">
        <f t="shared" si="8"/>
        <v>0</v>
      </c>
      <c r="Q34" s="41" t="s">
        <v>242</v>
      </c>
    </row>
    <row r="35" spans="1:17" x14ac:dyDescent="0.25">
      <c r="A35" s="41">
        <f t="shared" ca="1" si="7"/>
        <v>0.97759427193684845</v>
      </c>
      <c r="B35" s="220"/>
      <c r="C35" s="220"/>
      <c r="D35" s="221"/>
      <c r="E35" s="222"/>
      <c r="F35" s="223"/>
      <c r="G35" s="245"/>
      <c r="H35" s="245"/>
      <c r="I35" s="245"/>
      <c r="J35" s="246"/>
      <c r="K35" s="247"/>
      <c r="L35" s="157"/>
      <c r="M35" s="209">
        <v>1239</v>
      </c>
      <c r="N35" s="209">
        <v>0</v>
      </c>
      <c r="O35" s="209">
        <v>0</v>
      </c>
      <c r="P35" s="229">
        <f t="shared" si="8"/>
        <v>1239</v>
      </c>
    </row>
    <row r="36" spans="1:17" x14ac:dyDescent="0.25">
      <c r="A36" s="41">
        <f t="shared" ca="1" si="7"/>
        <v>0.48938086465684771</v>
      </c>
      <c r="B36" s="220">
        <v>21</v>
      </c>
      <c r="C36" s="230">
        <v>52</v>
      </c>
      <c r="D36" s="221" t="e">
        <f>VLOOKUP(C36,Уч!$A$2:$L$34,2,FALSE)</f>
        <v>#N/A</v>
      </c>
      <c r="E36" s="222" t="e">
        <f>VLOOKUP(C36,Уч!$A$2:$L$34,3,FALSE)</f>
        <v>#N/A</v>
      </c>
      <c r="F36" s="223" t="e">
        <f>VLOOKUP(C36,Уч!$A$2:$L$34,5,FALSE)</f>
        <v>#N/A</v>
      </c>
      <c r="G36" s="245">
        <f t="shared" ref="G36:I44" si="9">IF(M36=0,"X",M36/100)</f>
        <v>12.64</v>
      </c>
      <c r="H36" s="245" t="str">
        <f t="shared" si="9"/>
        <v>X</v>
      </c>
      <c r="I36" s="245" t="str">
        <f t="shared" si="9"/>
        <v>X</v>
      </c>
      <c r="J36" s="246">
        <f t="shared" ref="J36:J44" si="10">MAX(M36,N36,O36)/100</f>
        <v>12.64</v>
      </c>
      <c r="K36" s="247">
        <f t="shared" ref="K36:K44" si="11">IF(P36&lt;153,0,IF(P36=0,0,ROUNDDOWN(51.39*(P36/100-1.5)^1.05,0)))</f>
        <v>645</v>
      </c>
      <c r="L36" s="157"/>
      <c r="M36" s="209">
        <v>1264</v>
      </c>
      <c r="N36" s="209">
        <v>0</v>
      </c>
      <c r="O36" s="209">
        <v>0</v>
      </c>
      <c r="P36" s="229">
        <f t="shared" si="8"/>
        <v>1264</v>
      </c>
    </row>
    <row r="37" spans="1:17" x14ac:dyDescent="0.25">
      <c r="A37" s="41">
        <f t="shared" ca="1" si="7"/>
        <v>0.95216461733444091</v>
      </c>
      <c r="B37" s="220">
        <v>22</v>
      </c>
      <c r="C37" s="220">
        <v>10</v>
      </c>
      <c r="D37" s="221" t="e">
        <f>VLOOKUP(C37,Уч!$A$2:$L$34,2,FALSE)</f>
        <v>#N/A</v>
      </c>
      <c r="E37" s="222" t="e">
        <f>VLOOKUP(C37,Уч!$A$2:$L$34,3,FALSE)</f>
        <v>#N/A</v>
      </c>
      <c r="F37" s="223" t="e">
        <f>VLOOKUP(C37,Уч!$A$2:$L$34,5,FALSE)</f>
        <v>#N/A</v>
      </c>
      <c r="G37" s="245">
        <f t="shared" si="9"/>
        <v>13.89</v>
      </c>
      <c r="H37" s="245" t="str">
        <f t="shared" si="9"/>
        <v>X</v>
      </c>
      <c r="I37" s="245" t="str">
        <f t="shared" si="9"/>
        <v>X</v>
      </c>
      <c r="J37" s="246">
        <f t="shared" si="10"/>
        <v>13.89</v>
      </c>
      <c r="K37" s="247">
        <f t="shared" si="11"/>
        <v>722</v>
      </c>
      <c r="M37" s="209">
        <v>1389</v>
      </c>
      <c r="N37" s="209">
        <v>0</v>
      </c>
      <c r="O37" s="209">
        <v>0</v>
      </c>
      <c r="P37" s="229">
        <f t="shared" si="8"/>
        <v>1389</v>
      </c>
    </row>
    <row r="38" spans="1:17" x14ac:dyDescent="0.25">
      <c r="A38" s="41">
        <f t="shared" ca="1" si="7"/>
        <v>0.55293159588900465</v>
      </c>
      <c r="B38" s="220">
        <v>23</v>
      </c>
      <c r="C38" s="220">
        <v>56</v>
      </c>
      <c r="D38" s="221" t="e">
        <f>VLOOKUP(C38,Уч!$A$2:$L$34,2,FALSE)</f>
        <v>#N/A</v>
      </c>
      <c r="E38" s="222" t="e">
        <f>VLOOKUP(C38,Уч!$A$2:$L$34,3,FALSE)</f>
        <v>#N/A</v>
      </c>
      <c r="F38" s="223" t="e">
        <f>VLOOKUP(C38,Уч!$A$2:$L$34,5,FALSE)</f>
        <v>#N/A</v>
      </c>
      <c r="G38" s="245">
        <f t="shared" si="9"/>
        <v>13.38</v>
      </c>
      <c r="H38" s="245" t="str">
        <f t="shared" si="9"/>
        <v>X</v>
      </c>
      <c r="I38" s="245" t="str">
        <f t="shared" si="9"/>
        <v>X</v>
      </c>
      <c r="J38" s="246">
        <f t="shared" si="10"/>
        <v>13.38</v>
      </c>
      <c r="K38" s="247">
        <f t="shared" si="11"/>
        <v>690</v>
      </c>
      <c r="L38" s="157"/>
      <c r="M38" s="209">
        <v>1338</v>
      </c>
      <c r="N38" s="209">
        <v>0</v>
      </c>
      <c r="O38" s="209">
        <v>0</v>
      </c>
      <c r="P38" s="229">
        <f t="shared" si="8"/>
        <v>1338</v>
      </c>
    </row>
    <row r="39" spans="1:17" x14ac:dyDescent="0.25">
      <c r="A39" s="41">
        <f t="shared" ca="1" si="7"/>
        <v>0.21656612597562686</v>
      </c>
      <c r="B39" s="220">
        <v>24</v>
      </c>
      <c r="C39" s="230">
        <v>39</v>
      </c>
      <c r="D39" s="221" t="str">
        <f>VLOOKUP(C39,Уч!$A$2:$L$34,2,FALSE)</f>
        <v>Левковский Андрей</v>
      </c>
      <c r="E39" s="222" t="str">
        <f>VLOOKUP(C39,Уч!$A$2:$L$34,3,FALSE)</f>
        <v>17.08.1997</v>
      </c>
      <c r="F39" s="223" t="str">
        <f>VLOOKUP(C39,Уч!$A$2:$L$34,5,FALSE)</f>
        <v xml:space="preserve">Кемеровская область  </v>
      </c>
      <c r="G39" s="245" t="str">
        <f t="shared" si="9"/>
        <v>X</v>
      </c>
      <c r="H39" s="245" t="str">
        <f t="shared" si="9"/>
        <v>X</v>
      </c>
      <c r="I39" s="245" t="str">
        <f t="shared" si="9"/>
        <v>X</v>
      </c>
      <c r="J39" s="246">
        <f t="shared" si="10"/>
        <v>0</v>
      </c>
      <c r="K39" s="247">
        <f t="shared" si="11"/>
        <v>0</v>
      </c>
      <c r="L39" s="157"/>
      <c r="M39" s="209"/>
      <c r="N39" s="209">
        <v>0</v>
      </c>
      <c r="O39" s="209">
        <v>0</v>
      </c>
      <c r="P39" s="229">
        <f t="shared" si="8"/>
        <v>0</v>
      </c>
      <c r="Q39" s="41" t="s">
        <v>242</v>
      </c>
    </row>
    <row r="40" spans="1:17" x14ac:dyDescent="0.25">
      <c r="A40" s="41">
        <f t="shared" ca="1" si="7"/>
        <v>0.27907031103201074</v>
      </c>
      <c r="B40" s="220">
        <v>25</v>
      </c>
      <c r="C40" s="230">
        <v>57</v>
      </c>
      <c r="D40" s="221" t="e">
        <f>VLOOKUP(C40,Уч!$A$2:$L$34,2,FALSE)</f>
        <v>#N/A</v>
      </c>
      <c r="E40" s="222" t="e">
        <f>VLOOKUP(C40,Уч!$A$2:$L$34,3,FALSE)</f>
        <v>#N/A</v>
      </c>
      <c r="F40" s="223" t="e">
        <f>VLOOKUP(C40,Уч!$A$2:$L$34,5,FALSE)</f>
        <v>#N/A</v>
      </c>
      <c r="G40" s="245">
        <f t="shared" si="9"/>
        <v>12.85</v>
      </c>
      <c r="H40" s="245" t="str">
        <f t="shared" si="9"/>
        <v>X</v>
      </c>
      <c r="I40" s="245" t="str">
        <f t="shared" si="9"/>
        <v>X</v>
      </c>
      <c r="J40" s="246">
        <f t="shared" si="10"/>
        <v>12.85</v>
      </c>
      <c r="K40" s="247">
        <f t="shared" si="11"/>
        <v>658</v>
      </c>
      <c r="L40" s="157"/>
      <c r="M40" s="209">
        <v>1285</v>
      </c>
      <c r="N40" s="209">
        <v>0</v>
      </c>
      <c r="O40" s="209">
        <v>0</v>
      </c>
      <c r="P40" s="229">
        <f t="shared" si="8"/>
        <v>1285</v>
      </c>
    </row>
    <row r="41" spans="1:17" x14ac:dyDescent="0.25">
      <c r="A41" s="41">
        <f t="shared" ca="1" si="7"/>
        <v>0.26288051495223219</v>
      </c>
      <c r="B41" s="220">
        <v>26</v>
      </c>
      <c r="C41" s="220">
        <v>32</v>
      </c>
      <c r="D41" s="221" t="e">
        <f>VLOOKUP(C41,Уч!$A$2:$L$34,2,FALSE)</f>
        <v>#N/A</v>
      </c>
      <c r="E41" s="222" t="e">
        <f>VLOOKUP(C41,Уч!$A$2:$L$34,3,FALSE)</f>
        <v>#N/A</v>
      </c>
      <c r="F41" s="223" t="e">
        <f>VLOOKUP(C41,Уч!$A$2:$L$34,5,FALSE)</f>
        <v>#N/A</v>
      </c>
      <c r="G41" s="245">
        <f t="shared" si="9"/>
        <v>14.02</v>
      </c>
      <c r="H41" s="245" t="str">
        <f t="shared" si="9"/>
        <v>X</v>
      </c>
      <c r="I41" s="245" t="str">
        <f t="shared" si="9"/>
        <v>X</v>
      </c>
      <c r="J41" s="246">
        <f t="shared" si="10"/>
        <v>14.02</v>
      </c>
      <c r="K41" s="247">
        <f t="shared" si="11"/>
        <v>730</v>
      </c>
      <c r="M41" s="209">
        <v>1402</v>
      </c>
      <c r="N41" s="209">
        <v>0</v>
      </c>
      <c r="O41" s="209">
        <v>0</v>
      </c>
      <c r="P41" s="229">
        <f t="shared" si="8"/>
        <v>1402</v>
      </c>
    </row>
    <row r="42" spans="1:17" x14ac:dyDescent="0.25">
      <c r="A42" s="41">
        <f t="shared" ca="1" si="7"/>
        <v>0.82619322943717377</v>
      </c>
      <c r="B42" s="220">
        <v>27</v>
      </c>
      <c r="C42" s="220">
        <v>16</v>
      </c>
      <c r="D42" s="221" t="e">
        <f>VLOOKUP(C42,Уч!$A$2:$L$34,2,FALSE)</f>
        <v>#N/A</v>
      </c>
      <c r="E42" s="222" t="e">
        <f>VLOOKUP(C42,Уч!$A$2:$L$34,3,FALSE)</f>
        <v>#N/A</v>
      </c>
      <c r="F42" s="223" t="e">
        <f>VLOOKUP(C42,Уч!$A$2:$L$34,5,FALSE)</f>
        <v>#N/A</v>
      </c>
      <c r="G42" s="245">
        <f t="shared" si="9"/>
        <v>13.57</v>
      </c>
      <c r="H42" s="245" t="str">
        <f t="shared" si="9"/>
        <v>X</v>
      </c>
      <c r="I42" s="245" t="str">
        <f t="shared" si="9"/>
        <v>X</v>
      </c>
      <c r="J42" s="246">
        <f t="shared" si="10"/>
        <v>13.57</v>
      </c>
      <c r="K42" s="247">
        <f t="shared" si="11"/>
        <v>702</v>
      </c>
      <c r="L42" s="157"/>
      <c r="M42" s="209">
        <v>1357</v>
      </c>
      <c r="N42" s="209">
        <v>0</v>
      </c>
      <c r="O42" s="209">
        <v>0</v>
      </c>
      <c r="P42" s="229">
        <f t="shared" si="8"/>
        <v>1357</v>
      </c>
    </row>
    <row r="43" spans="1:17" x14ac:dyDescent="0.25">
      <c r="A43" s="41">
        <f t="shared" ca="1" si="7"/>
        <v>0.13290299085756641</v>
      </c>
      <c r="B43" s="220">
        <v>28</v>
      </c>
      <c r="C43" s="220">
        <v>27</v>
      </c>
      <c r="D43" s="221" t="e">
        <f>VLOOKUP(C43,Уч!$A$2:$L$34,2,FALSE)</f>
        <v>#N/A</v>
      </c>
      <c r="E43" s="222" t="e">
        <f>VLOOKUP(C43,Уч!$A$2:$L$34,3,FALSE)</f>
        <v>#N/A</v>
      </c>
      <c r="F43" s="223" t="e">
        <f>VLOOKUP(C43,Уч!$A$2:$L$34,5,FALSE)</f>
        <v>#N/A</v>
      </c>
      <c r="G43" s="245">
        <f>IF(M43=0,"X",M43/100)</f>
        <v>13.9</v>
      </c>
      <c r="H43" s="245" t="str">
        <f>IF(N43=0,"X",N43/100)</f>
        <v>X</v>
      </c>
      <c r="I43" s="245" t="str">
        <f>IF(O43=0,"X",O43/100)</f>
        <v>X</v>
      </c>
      <c r="J43" s="246">
        <f>MAX(M43,N43,O43)/100</f>
        <v>13.9</v>
      </c>
      <c r="K43" s="247">
        <f>IF(P43&lt;153,0,IF(P43=0,0,ROUNDDOWN(51.39*(P43/100-1.5)^1.05,0)))</f>
        <v>722</v>
      </c>
      <c r="L43" s="157"/>
      <c r="M43" s="209">
        <v>1390</v>
      </c>
      <c r="N43" s="209">
        <v>0</v>
      </c>
      <c r="O43" s="209">
        <v>0</v>
      </c>
      <c r="P43" s="229">
        <f>MAX(M43,N43,O43)</f>
        <v>1390</v>
      </c>
    </row>
    <row r="44" spans="1:17" x14ac:dyDescent="0.25">
      <c r="A44" s="41">
        <f t="shared" ca="1" si="7"/>
        <v>0.3783525472507604</v>
      </c>
      <c r="B44" s="220">
        <v>28</v>
      </c>
      <c r="C44" s="220">
        <v>41</v>
      </c>
      <c r="D44" s="221" t="str">
        <f>VLOOKUP(C44,Уч!$A$2:$L$34,2,FALSE)</f>
        <v>Фомичев Андрей</v>
      </c>
      <c r="E44" s="222" t="str">
        <f>VLOOKUP(C44,Уч!$A$2:$L$34,3,FALSE)</f>
        <v>15.12.1996</v>
      </c>
      <c r="F44" s="223" t="str">
        <f>VLOOKUP(C44,Уч!$A$2:$L$34,5,FALSE)</f>
        <v xml:space="preserve">Кемеровская область  </v>
      </c>
      <c r="G44" s="245" t="str">
        <f t="shared" si="9"/>
        <v>X</v>
      </c>
      <c r="H44" s="245" t="str">
        <f t="shared" si="9"/>
        <v>X</v>
      </c>
      <c r="I44" s="245" t="str">
        <f t="shared" si="9"/>
        <v>X</v>
      </c>
      <c r="J44" s="246">
        <f t="shared" si="10"/>
        <v>0</v>
      </c>
      <c r="K44" s="247">
        <f t="shared" si="11"/>
        <v>0</v>
      </c>
      <c r="L44" s="157"/>
      <c r="M44" s="209"/>
      <c r="N44" s="209">
        <v>0</v>
      </c>
      <c r="O44" s="209">
        <v>0</v>
      </c>
      <c r="P44" s="229">
        <f t="shared" si="8"/>
        <v>0</v>
      </c>
      <c r="Q44" s="41" t="s">
        <v>242</v>
      </c>
    </row>
  </sheetData>
  <sortState ref="A16:AL27">
    <sortCondition ref="A16:A27"/>
  </sortState>
  <mergeCells count="7">
    <mergeCell ref="B7:K7"/>
    <mergeCell ref="B1:K1"/>
    <mergeCell ref="B2:K2"/>
    <mergeCell ref="B3:K3"/>
    <mergeCell ref="B4:K4"/>
    <mergeCell ref="B5:K5"/>
    <mergeCell ref="B6:K6"/>
  </mergeCells>
  <pageMargins left="0.7" right="0.7" top="0.75" bottom="0.75" header="0.3" footer="0.3"/>
  <pageSetup paperSize="9" orientation="landscape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D661"/>
  </sheetPr>
  <dimension ref="A1:AJ55"/>
  <sheetViews>
    <sheetView view="pageBreakPreview" zoomScaleSheetLayoutView="100" workbookViewId="0">
      <selection activeCell="Q26" sqref="Q26"/>
    </sheetView>
  </sheetViews>
  <sheetFormatPr defaultColWidth="9.109375" defaultRowHeight="13.2" outlineLevelRow="1" outlineLevelCol="1" x14ac:dyDescent="0.25"/>
  <cols>
    <col min="1" max="1" width="8.5546875" style="41" customWidth="1" outlineLevel="1"/>
    <col min="2" max="2" width="5.77734375" style="41" customWidth="1"/>
    <col min="3" max="3" width="5" style="148" customWidth="1"/>
    <col min="4" max="4" width="18.6640625" style="41" customWidth="1"/>
    <col min="5" max="5" width="10.109375" style="41" customWidth="1" outlineLevel="1"/>
    <col min="6" max="6" width="16.88671875" style="41" customWidth="1" outlineLevel="1"/>
    <col min="7" max="9" width="3.33203125" style="148" customWidth="1" outlineLevel="1"/>
    <col min="10" max="10" width="3.5546875" style="148" customWidth="1" outlineLevel="1"/>
    <col min="11" max="12" width="3.33203125" style="41" customWidth="1" outlineLevel="1"/>
    <col min="13" max="20" width="3.33203125" style="148" customWidth="1" outlineLevel="1"/>
    <col min="21" max="21" width="3.33203125" style="41" customWidth="1" outlineLevel="1"/>
    <col min="22" max="29" width="3.33203125" style="148" customWidth="1" outlineLevel="1"/>
    <col min="30" max="30" width="3.33203125" style="41" customWidth="1" outlineLevel="1"/>
    <col min="31" max="31" width="8.88671875" style="41" bestFit="1" customWidth="1"/>
    <col min="32" max="32" width="5.109375" style="149" bestFit="1" customWidth="1"/>
    <col min="33" max="33" width="5.6640625" style="149" customWidth="1"/>
    <col min="34" max="34" width="9.33203125" style="41" bestFit="1" customWidth="1" outlineLevel="1"/>
    <col min="35" max="16384" width="9.109375" style="41"/>
  </cols>
  <sheetData>
    <row r="1" spans="1:35" ht="13.2" customHeight="1" x14ac:dyDescent="0.25">
      <c r="B1" s="805" t="s">
        <v>119</v>
      </c>
      <c r="C1" s="805"/>
      <c r="D1" s="805"/>
      <c r="E1" s="805"/>
      <c r="F1" s="805"/>
      <c r="G1" s="805"/>
      <c r="H1" s="805"/>
      <c r="I1" s="805"/>
      <c r="J1" s="805"/>
      <c r="K1" s="805"/>
      <c r="L1" s="805"/>
      <c r="M1" s="805"/>
      <c r="N1" s="805"/>
      <c r="O1" s="805"/>
      <c r="P1" s="805"/>
      <c r="Q1" s="805"/>
      <c r="R1" s="805"/>
      <c r="S1" s="805"/>
      <c r="T1" s="805"/>
      <c r="U1" s="805"/>
      <c r="V1" s="805"/>
      <c r="W1" s="805"/>
      <c r="X1" s="805"/>
      <c r="Y1" s="805"/>
      <c r="Z1" s="805"/>
      <c r="AA1" s="805"/>
      <c r="AB1" s="805"/>
      <c r="AC1" s="805"/>
      <c r="AD1" s="805"/>
      <c r="AE1" s="805"/>
      <c r="AH1" s="145"/>
    </row>
    <row r="2" spans="1:35" ht="13.2" customHeight="1" x14ac:dyDescent="0.25">
      <c r="B2" s="805" t="s">
        <v>10</v>
      </c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O2" s="805"/>
      <c r="P2" s="805"/>
      <c r="Q2" s="805"/>
      <c r="R2" s="805"/>
      <c r="S2" s="805"/>
      <c r="T2" s="805"/>
      <c r="U2" s="805"/>
      <c r="V2" s="805"/>
      <c r="W2" s="805"/>
      <c r="X2" s="805"/>
      <c r="Y2" s="805"/>
      <c r="Z2" s="805"/>
      <c r="AA2" s="805"/>
      <c r="AB2" s="805"/>
      <c r="AC2" s="805"/>
      <c r="AD2" s="805"/>
      <c r="AE2" s="805"/>
      <c r="AH2" s="145"/>
    </row>
    <row r="3" spans="1:35" ht="13.2" customHeight="1" x14ac:dyDescent="0.25">
      <c r="B3" s="805" t="s">
        <v>351</v>
      </c>
      <c r="C3" s="805"/>
      <c r="D3" s="805"/>
      <c r="E3" s="805"/>
      <c r="F3" s="805"/>
      <c r="G3" s="805"/>
      <c r="H3" s="805"/>
      <c r="I3" s="805"/>
      <c r="J3" s="805"/>
      <c r="K3" s="805"/>
      <c r="L3" s="805"/>
      <c r="M3" s="805"/>
      <c r="N3" s="805"/>
      <c r="O3" s="805"/>
      <c r="P3" s="805"/>
      <c r="Q3" s="805"/>
      <c r="R3" s="805"/>
      <c r="S3" s="805"/>
      <c r="T3" s="805"/>
      <c r="U3" s="805"/>
      <c r="V3" s="805"/>
      <c r="W3" s="805"/>
      <c r="X3" s="805"/>
      <c r="Y3" s="805"/>
      <c r="Z3" s="805"/>
      <c r="AA3" s="805"/>
      <c r="AB3" s="805"/>
      <c r="AC3" s="805"/>
      <c r="AD3" s="805"/>
      <c r="AE3" s="805"/>
      <c r="AH3" s="145"/>
    </row>
    <row r="4" spans="1:35" ht="13.2" customHeight="1" x14ac:dyDescent="0.25">
      <c r="B4" s="805" t="s">
        <v>322</v>
      </c>
      <c r="C4" s="805"/>
      <c r="D4" s="805"/>
      <c r="E4" s="805"/>
      <c r="F4" s="805"/>
      <c r="G4" s="805"/>
      <c r="H4" s="805"/>
      <c r="I4" s="805"/>
      <c r="J4" s="805"/>
      <c r="K4" s="805"/>
      <c r="L4" s="805"/>
      <c r="M4" s="805"/>
      <c r="N4" s="805"/>
      <c r="O4" s="805"/>
      <c r="P4" s="805"/>
      <c r="Q4" s="805"/>
      <c r="R4" s="805"/>
      <c r="S4" s="805"/>
      <c r="T4" s="805"/>
      <c r="U4" s="805"/>
      <c r="V4" s="805"/>
      <c r="W4" s="805"/>
      <c r="X4" s="805"/>
      <c r="Y4" s="805"/>
      <c r="Z4" s="805"/>
      <c r="AA4" s="805"/>
      <c r="AB4" s="805"/>
      <c r="AC4" s="805"/>
      <c r="AD4" s="805"/>
      <c r="AE4" s="805"/>
      <c r="AH4" s="145"/>
    </row>
    <row r="5" spans="1:35" ht="13.2" customHeight="1" x14ac:dyDescent="0.25">
      <c r="B5" s="805" t="s">
        <v>101</v>
      </c>
      <c r="C5" s="805"/>
      <c r="D5" s="805"/>
      <c r="E5" s="805"/>
      <c r="F5" s="805"/>
      <c r="G5" s="805"/>
      <c r="H5" s="805"/>
      <c r="I5" s="805"/>
      <c r="J5" s="805"/>
      <c r="K5" s="805"/>
      <c r="L5" s="805"/>
      <c r="M5" s="805"/>
      <c r="N5" s="805"/>
      <c r="O5" s="805"/>
      <c r="P5" s="805"/>
      <c r="Q5" s="805"/>
      <c r="R5" s="805"/>
      <c r="S5" s="805"/>
      <c r="T5" s="805"/>
      <c r="U5" s="805"/>
      <c r="V5" s="805"/>
      <c r="W5" s="805"/>
      <c r="X5" s="805"/>
      <c r="Y5" s="805"/>
      <c r="Z5" s="805"/>
      <c r="AA5" s="805"/>
      <c r="AB5" s="805"/>
      <c r="AC5" s="805"/>
      <c r="AD5" s="805"/>
      <c r="AE5" s="805"/>
      <c r="AH5" s="145"/>
    </row>
    <row r="6" spans="1:35" ht="13.2" customHeight="1" x14ac:dyDescent="0.25">
      <c r="B6" s="806" t="s">
        <v>12</v>
      </c>
      <c r="C6" s="806"/>
      <c r="D6" s="806"/>
      <c r="E6" s="806"/>
      <c r="F6" s="806"/>
      <c r="G6" s="806"/>
      <c r="H6" s="806"/>
      <c r="I6" s="806"/>
      <c r="J6" s="806"/>
      <c r="K6" s="806"/>
      <c r="L6" s="806"/>
      <c r="M6" s="806"/>
      <c r="N6" s="806"/>
      <c r="O6" s="806"/>
      <c r="P6" s="806"/>
      <c r="Q6" s="806"/>
      <c r="R6" s="806"/>
      <c r="S6" s="806"/>
      <c r="T6" s="806"/>
      <c r="U6" s="806"/>
      <c r="V6" s="806"/>
      <c r="W6" s="806"/>
      <c r="X6" s="806"/>
      <c r="Y6" s="806"/>
      <c r="Z6" s="806"/>
      <c r="AA6" s="806"/>
      <c r="AB6" s="806"/>
      <c r="AC6" s="806"/>
      <c r="AD6" s="806"/>
      <c r="AE6" s="806"/>
      <c r="AH6" s="145"/>
    </row>
    <row r="7" spans="1:35" ht="13.2" customHeight="1" x14ac:dyDescent="0.25">
      <c r="B7" s="801" t="s">
        <v>249</v>
      </c>
      <c r="C7" s="801"/>
      <c r="D7" s="801"/>
      <c r="E7" s="801"/>
      <c r="F7" s="801"/>
      <c r="G7" s="801"/>
      <c r="H7" s="801"/>
      <c r="I7" s="801"/>
      <c r="J7" s="801"/>
      <c r="K7" s="801"/>
      <c r="L7" s="801"/>
      <c r="M7" s="801"/>
      <c r="N7" s="801"/>
      <c r="O7" s="801"/>
      <c r="P7" s="801"/>
      <c r="Q7" s="801"/>
      <c r="R7" s="801"/>
      <c r="S7" s="801"/>
      <c r="T7" s="801"/>
      <c r="U7" s="801"/>
      <c r="V7" s="801"/>
      <c r="W7" s="801"/>
      <c r="X7" s="801"/>
      <c r="Y7" s="801"/>
      <c r="Z7" s="801"/>
      <c r="AA7" s="801"/>
      <c r="AB7" s="801"/>
      <c r="AC7" s="801"/>
      <c r="AD7" s="801"/>
      <c r="AE7" s="801"/>
      <c r="AH7" s="145"/>
    </row>
    <row r="8" spans="1:35" ht="13.2" hidden="1" customHeight="1" x14ac:dyDescent="0.3">
      <c r="C8" s="151"/>
      <c r="D8" s="148"/>
      <c r="G8" s="251"/>
      <c r="J8" s="252"/>
      <c r="K8" s="253"/>
      <c r="L8" s="254"/>
      <c r="N8" s="153"/>
      <c r="AH8" s="145"/>
    </row>
    <row r="9" spans="1:35" ht="13.2" customHeight="1" x14ac:dyDescent="0.25">
      <c r="B9" s="203" t="s">
        <v>463</v>
      </c>
      <c r="C9" s="147"/>
      <c r="D9" s="38"/>
      <c r="F9" s="760" t="s">
        <v>335</v>
      </c>
      <c r="G9" s="251"/>
      <c r="J9" s="255">
        <v>0</v>
      </c>
      <c r="L9" s="147"/>
      <c r="M9" s="213"/>
      <c r="N9" s="213"/>
      <c r="O9" s="213"/>
      <c r="P9" s="213"/>
      <c r="Q9" s="213"/>
      <c r="R9" s="213"/>
      <c r="S9" s="213"/>
      <c r="T9" s="213"/>
      <c r="U9" s="147"/>
      <c r="V9" s="213"/>
      <c r="W9" s="213"/>
      <c r="X9" s="213"/>
      <c r="Y9" s="213"/>
      <c r="Z9" s="213"/>
      <c r="AA9" s="213"/>
      <c r="AB9" s="213"/>
      <c r="AC9" s="213"/>
      <c r="AD9" s="276" t="s">
        <v>253</v>
      </c>
      <c r="AE9" s="207">
        <v>0.625</v>
      </c>
      <c r="AH9" s="152"/>
    </row>
    <row r="10" spans="1:35" ht="13.2" customHeight="1" outlineLevel="1" thickBot="1" x14ac:dyDescent="0.35">
      <c r="B10" s="41" t="s">
        <v>261</v>
      </c>
      <c r="C10" s="153"/>
      <c r="D10" s="148"/>
      <c r="E10" s="148"/>
      <c r="F10" s="151"/>
      <c r="H10" s="41"/>
      <c r="AD10" s="206" t="s">
        <v>254</v>
      </c>
      <c r="AE10" s="257"/>
      <c r="AH10" s="152"/>
    </row>
    <row r="11" spans="1:35" ht="13.2" hidden="1" customHeight="1" x14ac:dyDescent="0.3">
      <c r="C11" s="153"/>
      <c r="D11" s="148"/>
      <c r="E11" s="148"/>
      <c r="G11" s="151"/>
      <c r="H11" s="41"/>
      <c r="I11" s="41"/>
      <c r="AE11" s="214"/>
      <c r="AH11" s="152"/>
    </row>
    <row r="12" spans="1:35" ht="13.2" hidden="1" customHeight="1" outlineLevel="1" x14ac:dyDescent="0.3">
      <c r="C12" s="153" t="s">
        <v>11</v>
      </c>
      <c r="D12" s="148"/>
      <c r="E12" s="148"/>
      <c r="G12" s="151" t="s">
        <v>249</v>
      </c>
      <c r="H12" s="41"/>
      <c r="I12" s="41"/>
      <c r="AH12" s="145"/>
    </row>
    <row r="13" spans="1:35" ht="13.2" hidden="1" customHeight="1" thickBot="1" x14ac:dyDescent="0.35">
      <c r="C13" s="153"/>
      <c r="D13" s="148"/>
      <c r="E13" s="148"/>
      <c r="G13" s="151"/>
      <c r="H13" s="41"/>
      <c r="I13" s="41"/>
      <c r="AH13" s="145"/>
    </row>
    <row r="14" spans="1:35" s="266" customFormat="1" ht="13.2" customHeight="1" thickBot="1" x14ac:dyDescent="0.3">
      <c r="A14" s="249"/>
      <c r="B14" s="154" t="s">
        <v>260</v>
      </c>
      <c r="C14" s="249" t="s">
        <v>20</v>
      </c>
      <c r="D14" s="249" t="s">
        <v>16</v>
      </c>
      <c r="E14" s="249" t="s">
        <v>0</v>
      </c>
      <c r="F14" s="258" t="s">
        <v>8</v>
      </c>
      <c r="G14" s="259"/>
      <c r="H14" s="260"/>
      <c r="I14" s="261"/>
      <c r="J14" s="259"/>
      <c r="K14" s="260"/>
      <c r="L14" s="261"/>
      <c r="M14" s="259"/>
      <c r="N14" s="260"/>
      <c r="O14" s="261"/>
      <c r="P14" s="260"/>
      <c r="Q14" s="260"/>
      <c r="R14" s="260"/>
      <c r="S14" s="259"/>
      <c r="T14" s="260"/>
      <c r="U14" s="261"/>
      <c r="V14" s="259"/>
      <c r="W14" s="260"/>
      <c r="X14" s="261"/>
      <c r="Y14" s="260"/>
      <c r="Z14" s="260"/>
      <c r="AA14" s="260"/>
      <c r="AB14" s="259"/>
      <c r="AC14" s="260"/>
      <c r="AD14" s="261"/>
      <c r="AE14" s="262" t="s">
        <v>19</v>
      </c>
      <c r="AF14" s="263"/>
      <c r="AG14" s="264"/>
      <c r="AH14" s="265"/>
    </row>
    <row r="15" spans="1:35" s="156" customFormat="1" ht="13.2" hidden="1" customHeight="1" x14ac:dyDescent="0.25">
      <c r="F15" s="267"/>
      <c r="I15" s="267"/>
      <c r="L15" s="267"/>
      <c r="O15" s="267"/>
      <c r="U15" s="267"/>
      <c r="X15" s="267"/>
      <c r="AD15" s="267"/>
      <c r="AF15" s="157"/>
      <c r="AG15" s="157"/>
      <c r="AH15" s="152"/>
    </row>
    <row r="16" spans="1:35" ht="15" customHeight="1" x14ac:dyDescent="0.25">
      <c r="B16" s="220">
        <v>1</v>
      </c>
      <c r="C16" s="162">
        <v>45</v>
      </c>
      <c r="D16" s="268" t="s">
        <v>310</v>
      </c>
      <c r="E16" s="222" t="s">
        <v>311</v>
      </c>
      <c r="F16" s="223" t="s">
        <v>364</v>
      </c>
      <c r="G16" s="274"/>
      <c r="H16" s="271"/>
      <c r="I16" s="274"/>
      <c r="J16" s="271"/>
      <c r="K16" s="274"/>
      <c r="L16" s="271"/>
      <c r="M16" s="274"/>
      <c r="N16" s="271"/>
      <c r="O16" s="271"/>
      <c r="P16" s="271"/>
      <c r="Q16" s="274"/>
      <c r="R16" s="271"/>
      <c r="S16" s="271"/>
      <c r="T16" s="274"/>
      <c r="U16" s="271"/>
      <c r="V16" s="274"/>
      <c r="W16" s="271"/>
      <c r="X16" s="271"/>
      <c r="Y16" s="271"/>
      <c r="Z16" s="274"/>
      <c r="AA16" s="271"/>
      <c r="AB16" s="271"/>
      <c r="AC16" s="274"/>
      <c r="AD16" s="598"/>
      <c r="AE16" s="324">
        <v>1.88</v>
      </c>
      <c r="AF16" s="228"/>
      <c r="AG16" s="157"/>
      <c r="AH16" s="229"/>
      <c r="AI16" s="148"/>
    </row>
    <row r="17" spans="2:35" ht="15" customHeight="1" x14ac:dyDescent="0.25">
      <c r="B17" s="220">
        <v>2</v>
      </c>
      <c r="C17" s="197">
        <v>1</v>
      </c>
      <c r="D17" s="268" t="s">
        <v>312</v>
      </c>
      <c r="E17" s="222" t="s">
        <v>313</v>
      </c>
      <c r="F17" s="223" t="s">
        <v>354</v>
      </c>
      <c r="G17" s="274"/>
      <c r="H17" s="271"/>
      <c r="I17" s="274"/>
      <c r="J17" s="271"/>
      <c r="K17" s="274"/>
      <c r="L17" s="271"/>
      <c r="M17" s="274"/>
      <c r="N17" s="271"/>
      <c r="O17" s="271"/>
      <c r="P17" s="271"/>
      <c r="Q17" s="274"/>
      <c r="R17" s="271"/>
      <c r="S17" s="271"/>
      <c r="T17" s="274"/>
      <c r="U17" s="271"/>
      <c r="V17" s="274"/>
      <c r="W17" s="271"/>
      <c r="X17" s="271"/>
      <c r="Y17" s="271"/>
      <c r="Z17" s="274"/>
      <c r="AA17" s="271"/>
      <c r="AB17" s="271"/>
      <c r="AC17" s="274"/>
      <c r="AD17" s="598"/>
      <c r="AE17" s="324">
        <v>2</v>
      </c>
      <c r="AF17" s="228"/>
      <c r="AG17" s="157"/>
      <c r="AH17" s="229"/>
    </row>
    <row r="18" spans="2:35" ht="15" customHeight="1" x14ac:dyDescent="0.25">
      <c r="B18" s="220">
        <v>3</v>
      </c>
      <c r="C18" s="162">
        <v>40</v>
      </c>
      <c r="D18" s="268" t="s">
        <v>375</v>
      </c>
      <c r="E18" s="222" t="s">
        <v>376</v>
      </c>
      <c r="F18" s="223" t="s">
        <v>377</v>
      </c>
      <c r="G18" s="274"/>
      <c r="H18" s="271"/>
      <c r="I18" s="274"/>
      <c r="J18" s="271"/>
      <c r="K18" s="274"/>
      <c r="L18" s="271"/>
      <c r="M18" s="274"/>
      <c r="N18" s="271"/>
      <c r="O18" s="271"/>
      <c r="P18" s="271"/>
      <c r="Q18" s="274"/>
      <c r="R18" s="271"/>
      <c r="S18" s="271"/>
      <c r="T18" s="274"/>
      <c r="U18" s="271"/>
      <c r="V18" s="274"/>
      <c r="W18" s="271"/>
      <c r="X18" s="271"/>
      <c r="Y18" s="271"/>
      <c r="Z18" s="274"/>
      <c r="AA18" s="271"/>
      <c r="AB18" s="271"/>
      <c r="AC18" s="274"/>
      <c r="AD18" s="598"/>
      <c r="AE18" s="324">
        <v>1.91</v>
      </c>
      <c r="AF18" s="228"/>
      <c r="AG18" s="157"/>
      <c r="AH18" s="229"/>
      <c r="AI18" s="761" t="s">
        <v>165</v>
      </c>
    </row>
    <row r="19" spans="2:35" ht="15" customHeight="1" x14ac:dyDescent="0.25">
      <c r="B19" s="220">
        <v>4</v>
      </c>
      <c r="C19" s="162">
        <v>43</v>
      </c>
      <c r="D19" s="268" t="s">
        <v>371</v>
      </c>
      <c r="E19" s="222" t="s">
        <v>372</v>
      </c>
      <c r="F19" s="223" t="s">
        <v>364</v>
      </c>
      <c r="G19" s="274"/>
      <c r="H19" s="271"/>
      <c r="I19" s="274"/>
      <c r="J19" s="271"/>
      <c r="K19" s="274"/>
      <c r="L19" s="271"/>
      <c r="M19" s="274"/>
      <c r="N19" s="271"/>
      <c r="O19" s="271"/>
      <c r="P19" s="271"/>
      <c r="Q19" s="274"/>
      <c r="R19" s="271"/>
      <c r="S19" s="271"/>
      <c r="T19" s="274"/>
      <c r="U19" s="271"/>
      <c r="V19" s="274"/>
      <c r="W19" s="271"/>
      <c r="X19" s="271"/>
      <c r="Y19" s="271"/>
      <c r="Z19" s="274"/>
      <c r="AA19" s="271"/>
      <c r="AB19" s="271"/>
      <c r="AC19" s="274"/>
      <c r="AD19" s="598"/>
      <c r="AE19" s="324">
        <v>1.82</v>
      </c>
      <c r="AF19" s="228"/>
      <c r="AG19" s="157"/>
      <c r="AH19" s="229"/>
      <c r="AI19" s="564" t="s">
        <v>165</v>
      </c>
    </row>
    <row r="20" spans="2:35" ht="15" customHeight="1" x14ac:dyDescent="0.25">
      <c r="B20" s="220">
        <v>5</v>
      </c>
      <c r="C20" s="162">
        <v>116</v>
      </c>
      <c r="D20" s="268" t="s">
        <v>453</v>
      </c>
      <c r="E20" s="222" t="s">
        <v>454</v>
      </c>
      <c r="F20" s="223" t="s">
        <v>448</v>
      </c>
      <c r="G20" s="274"/>
      <c r="H20" s="271"/>
      <c r="I20" s="274"/>
      <c r="J20" s="271"/>
      <c r="K20" s="274"/>
      <c r="L20" s="271"/>
      <c r="M20" s="274"/>
      <c r="N20" s="271"/>
      <c r="O20" s="271"/>
      <c r="P20" s="271"/>
      <c r="Q20" s="274"/>
      <c r="R20" s="271"/>
      <c r="S20" s="271"/>
      <c r="T20" s="274"/>
      <c r="U20" s="271"/>
      <c r="V20" s="274"/>
      <c r="W20" s="271"/>
      <c r="X20" s="271"/>
      <c r="Y20" s="271"/>
      <c r="Z20" s="274"/>
      <c r="AA20" s="271"/>
      <c r="AB20" s="271"/>
      <c r="AC20" s="274"/>
      <c r="AD20" s="598"/>
      <c r="AE20" s="324">
        <v>0</v>
      </c>
      <c r="AF20" s="228"/>
      <c r="AG20" s="157"/>
      <c r="AH20" s="229"/>
      <c r="AI20" s="148"/>
    </row>
    <row r="21" spans="2:35" ht="15" customHeight="1" x14ac:dyDescent="0.25">
      <c r="B21" s="220">
        <v>6</v>
      </c>
      <c r="C21" s="162">
        <v>78</v>
      </c>
      <c r="D21" s="268" t="s">
        <v>304</v>
      </c>
      <c r="E21" s="222" t="s">
        <v>305</v>
      </c>
      <c r="F21" s="223" t="s">
        <v>391</v>
      </c>
      <c r="G21" s="274"/>
      <c r="H21" s="271"/>
      <c r="I21" s="274"/>
      <c r="J21" s="271"/>
      <c r="K21" s="274"/>
      <c r="L21" s="271"/>
      <c r="M21" s="274"/>
      <c r="N21" s="271"/>
      <c r="O21" s="271"/>
      <c r="P21" s="271"/>
      <c r="Q21" s="274"/>
      <c r="R21" s="271"/>
      <c r="S21" s="271"/>
      <c r="T21" s="274"/>
      <c r="U21" s="271"/>
      <c r="V21" s="274"/>
      <c r="W21" s="271"/>
      <c r="X21" s="271"/>
      <c r="Y21" s="271"/>
      <c r="Z21" s="274"/>
      <c r="AA21" s="271"/>
      <c r="AB21" s="271"/>
      <c r="AC21" s="274"/>
      <c r="AD21" s="598"/>
      <c r="AE21" s="324">
        <v>1.79</v>
      </c>
      <c r="AF21" s="228"/>
      <c r="AG21" s="157"/>
      <c r="AH21" s="229"/>
      <c r="AI21" s="761"/>
    </row>
    <row r="22" spans="2:35" ht="15" customHeight="1" x14ac:dyDescent="0.25">
      <c r="B22" s="220">
        <v>7</v>
      </c>
      <c r="C22" s="304">
        <v>107</v>
      </c>
      <c r="D22" s="268" t="s">
        <v>457</v>
      </c>
      <c r="E22" s="222" t="s">
        <v>458</v>
      </c>
      <c r="F22" s="223" t="s">
        <v>460</v>
      </c>
      <c r="G22" s="274"/>
      <c r="H22" s="271"/>
      <c r="I22" s="274"/>
      <c r="J22" s="271"/>
      <c r="K22" s="274"/>
      <c r="L22" s="271"/>
      <c r="M22" s="274"/>
      <c r="N22" s="271"/>
      <c r="O22" s="271"/>
      <c r="P22" s="271"/>
      <c r="Q22" s="274"/>
      <c r="R22" s="271"/>
      <c r="S22" s="271"/>
      <c r="T22" s="274"/>
      <c r="U22" s="271"/>
      <c r="V22" s="274"/>
      <c r="W22" s="271"/>
      <c r="X22" s="271"/>
      <c r="Y22" s="271"/>
      <c r="Z22" s="274"/>
      <c r="AA22" s="271"/>
      <c r="AB22" s="271"/>
      <c r="AC22" s="274"/>
      <c r="AD22" s="598"/>
      <c r="AE22" s="324">
        <v>1.85</v>
      </c>
      <c r="AF22" s="228"/>
      <c r="AG22" s="157"/>
      <c r="AH22" s="229"/>
      <c r="AI22" s="148"/>
    </row>
    <row r="23" spans="2:35" ht="15" customHeight="1" x14ac:dyDescent="0.25">
      <c r="B23" s="220">
        <v>8</v>
      </c>
      <c r="C23" s="162">
        <v>83</v>
      </c>
      <c r="D23" s="268" t="s">
        <v>405</v>
      </c>
      <c r="E23" s="222" t="s">
        <v>406</v>
      </c>
      <c r="F23" s="223" t="s">
        <v>399</v>
      </c>
      <c r="G23" s="274"/>
      <c r="H23" s="271"/>
      <c r="I23" s="274"/>
      <c r="J23" s="271"/>
      <c r="K23" s="274"/>
      <c r="L23" s="271"/>
      <c r="M23" s="274"/>
      <c r="N23" s="271"/>
      <c r="O23" s="271"/>
      <c r="P23" s="271"/>
      <c r="Q23" s="274"/>
      <c r="R23" s="271"/>
      <c r="S23" s="271"/>
      <c r="T23" s="274"/>
      <c r="U23" s="271"/>
      <c r="V23" s="274"/>
      <c r="W23" s="271"/>
      <c r="X23" s="271"/>
      <c r="Y23" s="271"/>
      <c r="Z23" s="274"/>
      <c r="AA23" s="271"/>
      <c r="AB23" s="271"/>
      <c r="AC23" s="274"/>
      <c r="AD23" s="598"/>
      <c r="AE23" s="324">
        <v>1.7</v>
      </c>
      <c r="AF23" s="228"/>
      <c r="AG23" s="157"/>
      <c r="AH23" s="229"/>
      <c r="AI23" s="148"/>
    </row>
    <row r="24" spans="2:35" ht="15" customHeight="1" x14ac:dyDescent="0.25">
      <c r="B24" s="220">
        <v>9</v>
      </c>
      <c r="C24" s="162">
        <v>86</v>
      </c>
      <c r="D24" s="268" t="s">
        <v>396</v>
      </c>
      <c r="E24" s="222" t="s">
        <v>397</v>
      </c>
      <c r="F24" s="223" t="s">
        <v>399</v>
      </c>
      <c r="G24" s="274"/>
      <c r="H24" s="271"/>
      <c r="I24" s="274"/>
      <c r="J24" s="271"/>
      <c r="K24" s="274"/>
      <c r="L24" s="271"/>
      <c r="M24" s="274"/>
      <c r="N24" s="271"/>
      <c r="O24" s="271"/>
      <c r="P24" s="271"/>
      <c r="Q24" s="274"/>
      <c r="R24" s="271"/>
      <c r="S24" s="271"/>
      <c r="T24" s="274"/>
      <c r="U24" s="271"/>
      <c r="V24" s="274"/>
      <c r="W24" s="271"/>
      <c r="X24" s="271"/>
      <c r="Y24" s="271"/>
      <c r="Z24" s="274"/>
      <c r="AA24" s="271"/>
      <c r="AB24" s="271"/>
      <c r="AC24" s="274"/>
      <c r="AD24" s="598"/>
      <c r="AE24" s="324">
        <v>1.82</v>
      </c>
      <c r="AF24" s="228"/>
      <c r="AG24" s="157"/>
      <c r="AH24" s="229"/>
      <c r="AI24" s="148"/>
    </row>
    <row r="25" spans="2:35" ht="15" customHeight="1" x14ac:dyDescent="0.25">
      <c r="B25" s="220">
        <v>10</v>
      </c>
      <c r="C25" s="162">
        <v>101</v>
      </c>
      <c r="D25" s="268" t="s">
        <v>427</v>
      </c>
      <c r="E25" s="222" t="s">
        <v>428</v>
      </c>
      <c r="F25" s="223" t="s">
        <v>424</v>
      </c>
      <c r="G25" s="274"/>
      <c r="H25" s="271"/>
      <c r="I25" s="274"/>
      <c r="J25" s="271"/>
      <c r="K25" s="274"/>
      <c r="L25" s="271"/>
      <c r="M25" s="274"/>
      <c r="N25" s="271"/>
      <c r="O25" s="271"/>
      <c r="P25" s="271"/>
      <c r="Q25" s="274"/>
      <c r="R25" s="271"/>
      <c r="S25" s="271"/>
      <c r="T25" s="274"/>
      <c r="U25" s="271"/>
      <c r="V25" s="274"/>
      <c r="W25" s="271"/>
      <c r="X25" s="271"/>
      <c r="Y25" s="271"/>
      <c r="Z25" s="274"/>
      <c r="AA25" s="271"/>
      <c r="AB25" s="271"/>
      <c r="AC25" s="274"/>
      <c r="AD25" s="598"/>
      <c r="AE25" s="324">
        <v>1.97</v>
      </c>
      <c r="AF25" s="228"/>
      <c r="AG25" s="157"/>
      <c r="AH25" s="229"/>
      <c r="AI25" s="148"/>
    </row>
    <row r="26" spans="2:35" ht="15" customHeight="1" x14ac:dyDescent="0.25">
      <c r="B26" s="220">
        <v>11</v>
      </c>
      <c r="C26" s="162">
        <v>99</v>
      </c>
      <c r="D26" s="268" t="s">
        <v>421</v>
      </c>
      <c r="E26" s="222" t="s">
        <v>422</v>
      </c>
      <c r="F26" s="223" t="s">
        <v>424</v>
      </c>
      <c r="G26" s="274"/>
      <c r="H26" s="271"/>
      <c r="I26" s="274"/>
      <c r="J26" s="271"/>
      <c r="K26" s="274"/>
      <c r="L26" s="271"/>
      <c r="M26" s="274"/>
      <c r="N26" s="271"/>
      <c r="O26" s="271"/>
      <c r="P26" s="271"/>
      <c r="Q26" s="274"/>
      <c r="R26" s="271"/>
      <c r="S26" s="271"/>
      <c r="T26" s="274"/>
      <c r="U26" s="271"/>
      <c r="V26" s="274"/>
      <c r="W26" s="271"/>
      <c r="X26" s="271"/>
      <c r="Y26" s="271"/>
      <c r="Z26" s="274"/>
      <c r="AA26" s="271"/>
      <c r="AB26" s="271"/>
      <c r="AC26" s="274"/>
      <c r="AD26" s="598"/>
      <c r="AE26" s="324">
        <v>1.79</v>
      </c>
      <c r="AF26" s="228"/>
      <c r="AG26" s="157"/>
      <c r="AH26" s="229"/>
      <c r="AI26" s="761"/>
    </row>
    <row r="27" spans="2:35" ht="15" customHeight="1" x14ac:dyDescent="0.25">
      <c r="B27" s="220">
        <v>12</v>
      </c>
      <c r="C27" s="197">
        <v>71</v>
      </c>
      <c r="D27" s="268" t="s">
        <v>380</v>
      </c>
      <c r="E27" s="222" t="s">
        <v>381</v>
      </c>
      <c r="F27" s="223" t="s">
        <v>383</v>
      </c>
      <c r="G27" s="274"/>
      <c r="H27" s="271"/>
      <c r="I27" s="274"/>
      <c r="J27" s="271"/>
      <c r="K27" s="274"/>
      <c r="L27" s="271"/>
      <c r="M27" s="274"/>
      <c r="N27" s="271"/>
      <c r="O27" s="271"/>
      <c r="P27" s="271"/>
      <c r="Q27" s="274"/>
      <c r="R27" s="271"/>
      <c r="S27" s="271"/>
      <c r="T27" s="274"/>
      <c r="U27" s="271"/>
      <c r="V27" s="274"/>
      <c r="W27" s="271"/>
      <c r="X27" s="271"/>
      <c r="Y27" s="271"/>
      <c r="Z27" s="274"/>
      <c r="AA27" s="271"/>
      <c r="AB27" s="271"/>
      <c r="AC27" s="274"/>
      <c r="AD27" s="598"/>
      <c r="AE27" s="324">
        <v>1.94</v>
      </c>
      <c r="AF27" s="228"/>
      <c r="AG27" s="157"/>
      <c r="AH27" s="229"/>
    </row>
    <row r="28" spans="2:35" ht="15" customHeight="1" x14ac:dyDescent="0.25">
      <c r="B28" s="220">
        <v>13</v>
      </c>
      <c r="C28" s="304">
        <v>88</v>
      </c>
      <c r="D28" s="268" t="s">
        <v>411</v>
      </c>
      <c r="E28" s="222" t="s">
        <v>412</v>
      </c>
      <c r="F28" s="223" t="s">
        <v>399</v>
      </c>
      <c r="G28" s="274"/>
      <c r="H28" s="271"/>
      <c r="I28" s="274"/>
      <c r="J28" s="271"/>
      <c r="K28" s="274"/>
      <c r="L28" s="271"/>
      <c r="M28" s="274"/>
      <c r="N28" s="271"/>
      <c r="O28" s="271"/>
      <c r="P28" s="271"/>
      <c r="Q28" s="274"/>
      <c r="R28" s="271"/>
      <c r="S28" s="271"/>
      <c r="T28" s="274"/>
      <c r="U28" s="271"/>
      <c r="V28" s="274"/>
      <c r="W28" s="271"/>
      <c r="X28" s="271"/>
      <c r="Y28" s="271"/>
      <c r="Z28" s="274"/>
      <c r="AA28" s="271"/>
      <c r="AB28" s="271"/>
      <c r="AC28" s="274"/>
      <c r="AD28" s="598"/>
      <c r="AE28" s="324">
        <v>1.7</v>
      </c>
      <c r="AF28" s="228"/>
      <c r="AG28" s="157"/>
      <c r="AH28" s="229"/>
      <c r="AI28" s="653"/>
    </row>
    <row r="29" spans="2:35" ht="15" customHeight="1" x14ac:dyDescent="0.25">
      <c r="B29" s="220">
        <v>14</v>
      </c>
      <c r="C29" s="162">
        <v>77</v>
      </c>
      <c r="D29" s="268" t="s">
        <v>308</v>
      </c>
      <c r="E29" s="222" t="s">
        <v>309</v>
      </c>
      <c r="F29" s="223" t="s">
        <v>391</v>
      </c>
      <c r="G29" s="274"/>
      <c r="H29" s="271"/>
      <c r="I29" s="274"/>
      <c r="J29" s="271"/>
      <c r="K29" s="274"/>
      <c r="L29" s="271"/>
      <c r="M29" s="274"/>
      <c r="N29" s="271"/>
      <c r="O29" s="271"/>
      <c r="P29" s="271"/>
      <c r="Q29" s="274"/>
      <c r="R29" s="271"/>
      <c r="S29" s="271"/>
      <c r="T29" s="274"/>
      <c r="U29" s="271"/>
      <c r="V29" s="274"/>
      <c r="W29" s="271"/>
      <c r="X29" s="271"/>
      <c r="Y29" s="271"/>
      <c r="Z29" s="274"/>
      <c r="AA29" s="271"/>
      <c r="AB29" s="271"/>
      <c r="AC29" s="274"/>
      <c r="AD29" s="598"/>
      <c r="AE29" s="324">
        <v>2.06</v>
      </c>
      <c r="AF29" s="228"/>
      <c r="AG29" s="157"/>
      <c r="AH29" s="229"/>
      <c r="AI29" s="653"/>
    </row>
    <row r="30" spans="2:35" ht="15" customHeight="1" x14ac:dyDescent="0.25">
      <c r="B30" s="220">
        <v>15</v>
      </c>
      <c r="C30" s="162">
        <v>21</v>
      </c>
      <c r="D30" s="268" t="s">
        <v>314</v>
      </c>
      <c r="E30" s="222">
        <v>36317</v>
      </c>
      <c r="F30" s="223" t="s">
        <v>356</v>
      </c>
      <c r="G30" s="274"/>
      <c r="H30" s="271"/>
      <c r="I30" s="274"/>
      <c r="J30" s="271"/>
      <c r="K30" s="274"/>
      <c r="L30" s="271"/>
      <c r="M30" s="274"/>
      <c r="N30" s="271"/>
      <c r="O30" s="271"/>
      <c r="P30" s="271"/>
      <c r="Q30" s="274"/>
      <c r="R30" s="271"/>
      <c r="S30" s="271"/>
      <c r="T30" s="274"/>
      <c r="U30" s="271"/>
      <c r="V30" s="274"/>
      <c r="W30" s="271"/>
      <c r="X30" s="271"/>
      <c r="Y30" s="271"/>
      <c r="Z30" s="274"/>
      <c r="AA30" s="271"/>
      <c r="AB30" s="271"/>
      <c r="AC30" s="274"/>
      <c r="AD30" s="598"/>
      <c r="AE30" s="324">
        <v>1.76</v>
      </c>
      <c r="AF30" s="228"/>
      <c r="AG30" s="157"/>
      <c r="AH30" s="229"/>
      <c r="AI30" s="653"/>
    </row>
    <row r="31" spans="2:35" ht="15" customHeight="1" x14ac:dyDescent="0.25">
      <c r="B31" s="220">
        <v>16</v>
      </c>
      <c r="C31" s="162">
        <v>89</v>
      </c>
      <c r="D31" s="268" t="s">
        <v>402</v>
      </c>
      <c r="E31" s="222" t="s">
        <v>403</v>
      </c>
      <c r="F31" s="223" t="s">
        <v>399</v>
      </c>
      <c r="G31" s="274"/>
      <c r="H31" s="271"/>
      <c r="I31" s="274"/>
      <c r="J31" s="271"/>
      <c r="K31" s="274"/>
      <c r="L31" s="271"/>
      <c r="M31" s="274"/>
      <c r="N31" s="271"/>
      <c r="O31" s="271"/>
      <c r="P31" s="271"/>
      <c r="Q31" s="274"/>
      <c r="R31" s="271"/>
      <c r="S31" s="271"/>
      <c r="T31" s="274"/>
      <c r="U31" s="271"/>
      <c r="V31" s="274"/>
      <c r="W31" s="271"/>
      <c r="X31" s="271"/>
      <c r="Y31" s="271"/>
      <c r="Z31" s="274"/>
      <c r="AA31" s="271"/>
      <c r="AB31" s="271"/>
      <c r="AC31" s="274"/>
      <c r="AD31" s="598"/>
      <c r="AE31" s="324">
        <v>1.97</v>
      </c>
      <c r="AF31" s="228"/>
      <c r="AG31" s="157"/>
      <c r="AH31" s="229"/>
      <c r="AI31" s="653"/>
    </row>
    <row r="32" spans="2:35" ht="15" customHeight="1" x14ac:dyDescent="0.25">
      <c r="B32" s="220">
        <v>17</v>
      </c>
      <c r="C32" s="162">
        <v>44</v>
      </c>
      <c r="D32" s="268" t="s">
        <v>306</v>
      </c>
      <c r="E32" s="222" t="s">
        <v>307</v>
      </c>
      <c r="F32" s="223" t="s">
        <v>364</v>
      </c>
      <c r="G32" s="274"/>
      <c r="H32" s="271"/>
      <c r="I32" s="274"/>
      <c r="J32" s="271"/>
      <c r="K32" s="274"/>
      <c r="L32" s="271"/>
      <c r="M32" s="274"/>
      <c r="N32" s="271"/>
      <c r="O32" s="271"/>
      <c r="P32" s="271"/>
      <c r="Q32" s="274"/>
      <c r="R32" s="271"/>
      <c r="S32" s="271"/>
      <c r="T32" s="274"/>
      <c r="U32" s="271"/>
      <c r="V32" s="274"/>
      <c r="W32" s="271"/>
      <c r="X32" s="271"/>
      <c r="Y32" s="271"/>
      <c r="Z32" s="274"/>
      <c r="AA32" s="271"/>
      <c r="AB32" s="271"/>
      <c r="AC32" s="274"/>
      <c r="AD32" s="598"/>
      <c r="AE32" s="324">
        <v>1.91</v>
      </c>
      <c r="AF32" s="228"/>
      <c r="AG32" s="157"/>
      <c r="AH32" s="229"/>
      <c r="AI32" s="653"/>
    </row>
    <row r="33" spans="2:36" ht="13.2" hidden="1" customHeight="1" x14ac:dyDescent="0.25">
      <c r="B33" s="220">
        <v>18</v>
      </c>
      <c r="C33" s="162">
        <v>62</v>
      </c>
      <c r="D33" s="268" t="e">
        <v>#N/A</v>
      </c>
      <c r="E33" s="222" t="e">
        <v>#N/A</v>
      </c>
      <c r="F33" s="223" t="e">
        <v>#N/A</v>
      </c>
      <c r="G33" s="274"/>
      <c r="H33" s="271"/>
      <c r="I33" s="274"/>
      <c r="J33" s="271"/>
      <c r="K33" s="274"/>
      <c r="L33" s="271"/>
      <c r="M33" s="274"/>
      <c r="N33" s="271"/>
      <c r="O33" s="271"/>
      <c r="P33" s="271"/>
      <c r="Q33" s="274"/>
      <c r="R33" s="271"/>
      <c r="S33" s="271"/>
      <c r="T33" s="274"/>
      <c r="U33" s="271"/>
      <c r="V33" s="274"/>
      <c r="W33" s="271"/>
      <c r="X33" s="271"/>
      <c r="Y33" s="271"/>
      <c r="Z33" s="274"/>
      <c r="AA33" s="271"/>
      <c r="AB33" s="271"/>
      <c r="AC33" s="274"/>
      <c r="AD33" s="598"/>
      <c r="AE33" s="605">
        <v>1.88</v>
      </c>
      <c r="AF33" s="228"/>
      <c r="AG33" s="157"/>
      <c r="AH33" s="229"/>
      <c r="AI33" s="653"/>
    </row>
    <row r="34" spans="2:36" ht="13.2" hidden="1" customHeight="1" x14ac:dyDescent="0.25">
      <c r="B34" s="220">
        <v>19</v>
      </c>
      <c r="C34" s="304">
        <v>63</v>
      </c>
      <c r="D34" s="268" t="e">
        <v>#N/A</v>
      </c>
      <c r="E34" s="222" t="e">
        <v>#N/A</v>
      </c>
      <c r="F34" s="223" t="e">
        <v>#N/A</v>
      </c>
      <c r="G34" s="274"/>
      <c r="H34" s="271"/>
      <c r="I34" s="274"/>
      <c r="J34" s="271"/>
      <c r="K34" s="274"/>
      <c r="L34" s="271"/>
      <c r="M34" s="274"/>
      <c r="N34" s="271"/>
      <c r="O34" s="271"/>
      <c r="P34" s="271"/>
      <c r="Q34" s="274"/>
      <c r="R34" s="271"/>
      <c r="S34" s="271"/>
      <c r="T34" s="274"/>
      <c r="U34" s="271"/>
      <c r="V34" s="274"/>
      <c r="W34" s="271"/>
      <c r="X34" s="271"/>
      <c r="Y34" s="271"/>
      <c r="Z34" s="274"/>
      <c r="AA34" s="271"/>
      <c r="AB34" s="271"/>
      <c r="AC34" s="274"/>
      <c r="AD34" s="598"/>
      <c r="AE34" s="605">
        <v>1.88</v>
      </c>
      <c r="AF34" s="228"/>
      <c r="AG34" s="157"/>
      <c r="AH34" s="229"/>
      <c r="AI34" s="653"/>
    </row>
    <row r="35" spans="2:36" ht="13.2" hidden="1" customHeight="1" x14ac:dyDescent="0.25">
      <c r="B35" s="220">
        <v>20</v>
      </c>
      <c r="C35" s="162">
        <v>50</v>
      </c>
      <c r="D35" s="268" t="e">
        <v>#N/A</v>
      </c>
      <c r="E35" s="222" t="e">
        <v>#N/A</v>
      </c>
      <c r="F35" s="223" t="e">
        <v>#N/A</v>
      </c>
      <c r="G35" s="274"/>
      <c r="H35" s="271"/>
      <c r="I35" s="274"/>
      <c r="J35" s="271"/>
      <c r="K35" s="274"/>
      <c r="L35" s="271"/>
      <c r="M35" s="274"/>
      <c r="N35" s="271"/>
      <c r="O35" s="271"/>
      <c r="P35" s="271"/>
      <c r="Q35" s="274"/>
      <c r="R35" s="271"/>
      <c r="S35" s="271"/>
      <c r="T35" s="274"/>
      <c r="U35" s="271"/>
      <c r="V35" s="274"/>
      <c r="W35" s="271"/>
      <c r="X35" s="271"/>
      <c r="Y35" s="271"/>
      <c r="Z35" s="274"/>
      <c r="AA35" s="271"/>
      <c r="AB35" s="271"/>
      <c r="AC35" s="274"/>
      <c r="AD35" s="598"/>
      <c r="AE35" s="605">
        <v>1.88</v>
      </c>
      <c r="AF35" s="228"/>
      <c r="AG35" s="157"/>
      <c r="AH35" s="229"/>
      <c r="AI35" s="653"/>
    </row>
    <row r="36" spans="2:36" ht="13.2" hidden="1" customHeight="1" x14ac:dyDescent="0.25">
      <c r="B36" s="220">
        <v>21</v>
      </c>
      <c r="C36" s="197">
        <v>44</v>
      </c>
      <c r="D36" s="268" t="s">
        <v>306</v>
      </c>
      <c r="E36" s="222" t="s">
        <v>307</v>
      </c>
      <c r="F36" s="223" t="s">
        <v>364</v>
      </c>
      <c r="G36" s="274"/>
      <c r="H36" s="271"/>
      <c r="I36" s="274"/>
      <c r="J36" s="271"/>
      <c r="K36" s="274"/>
      <c r="L36" s="271"/>
      <c r="M36" s="274"/>
      <c r="N36" s="271"/>
      <c r="O36" s="271"/>
      <c r="P36" s="271"/>
      <c r="Q36" s="274"/>
      <c r="R36" s="271"/>
      <c r="S36" s="271"/>
      <c r="T36" s="274"/>
      <c r="U36" s="271"/>
      <c r="V36" s="274"/>
      <c r="W36" s="271"/>
      <c r="X36" s="271"/>
      <c r="Y36" s="271"/>
      <c r="Z36" s="274"/>
      <c r="AA36" s="271"/>
      <c r="AB36" s="271"/>
      <c r="AC36" s="274"/>
      <c r="AD36" s="598"/>
      <c r="AE36" s="605">
        <v>1.82</v>
      </c>
      <c r="AF36" s="228"/>
      <c r="AG36" s="157"/>
      <c r="AH36" s="229"/>
      <c r="AI36" s="653"/>
    </row>
    <row r="37" spans="2:36" ht="13.2" hidden="1" customHeight="1" x14ac:dyDescent="0.25">
      <c r="B37" s="220">
        <v>22</v>
      </c>
      <c r="C37" s="162">
        <v>41</v>
      </c>
      <c r="D37" s="268" t="s">
        <v>362</v>
      </c>
      <c r="E37" s="222" t="s">
        <v>363</v>
      </c>
      <c r="F37" s="223" t="s">
        <v>364</v>
      </c>
      <c r="G37" s="274"/>
      <c r="H37" s="271"/>
      <c r="I37" s="274"/>
      <c r="J37" s="271"/>
      <c r="K37" s="274"/>
      <c r="L37" s="271"/>
      <c r="M37" s="274"/>
      <c r="N37" s="271"/>
      <c r="O37" s="271"/>
      <c r="P37" s="271"/>
      <c r="Q37" s="274"/>
      <c r="R37" s="271"/>
      <c r="S37" s="271"/>
      <c r="T37" s="274"/>
      <c r="U37" s="271"/>
      <c r="V37" s="274"/>
      <c r="W37" s="271"/>
      <c r="X37" s="271"/>
      <c r="Y37" s="271"/>
      <c r="Z37" s="274"/>
      <c r="AA37" s="271"/>
      <c r="AB37" s="271"/>
      <c r="AC37" s="274"/>
      <c r="AD37" s="598"/>
      <c r="AE37" s="605">
        <v>2</v>
      </c>
      <c r="AF37" s="228"/>
      <c r="AG37" s="157"/>
      <c r="AH37" s="229"/>
      <c r="AI37" s="653"/>
    </row>
    <row r="38" spans="2:36" ht="13.2" hidden="1" customHeight="1" x14ac:dyDescent="0.25">
      <c r="B38" s="220">
        <v>23</v>
      </c>
      <c r="C38" s="162">
        <v>69</v>
      </c>
      <c r="D38" s="268" t="e">
        <v>#N/A</v>
      </c>
      <c r="E38" s="222" t="e">
        <v>#N/A</v>
      </c>
      <c r="F38" s="223" t="e">
        <v>#N/A</v>
      </c>
      <c r="G38" s="274"/>
      <c r="H38" s="271"/>
      <c r="I38" s="274"/>
      <c r="J38" s="271"/>
      <c r="K38" s="274"/>
      <c r="L38" s="271"/>
      <c r="M38" s="274"/>
      <c r="N38" s="271"/>
      <c r="O38" s="271"/>
      <c r="P38" s="271"/>
      <c r="Q38" s="274"/>
      <c r="R38" s="271"/>
      <c r="S38" s="271"/>
      <c r="T38" s="274"/>
      <c r="U38" s="271"/>
      <c r="V38" s="274"/>
      <c r="W38" s="271"/>
      <c r="X38" s="271"/>
      <c r="Y38" s="271"/>
      <c r="Z38" s="274"/>
      <c r="AA38" s="271"/>
      <c r="AB38" s="271"/>
      <c r="AC38" s="274"/>
      <c r="AD38" s="598"/>
      <c r="AE38" s="605">
        <v>1.85</v>
      </c>
      <c r="AF38" s="228"/>
      <c r="AG38" s="157"/>
      <c r="AH38" s="229"/>
      <c r="AI38" s="653"/>
    </row>
    <row r="39" spans="2:36" ht="13.2" customHeight="1" x14ac:dyDescent="0.25">
      <c r="B39" s="575"/>
      <c r="C39" s="583"/>
      <c r="D39" s="595"/>
      <c r="E39" s="577"/>
      <c r="F39" s="578"/>
      <c r="G39" s="596"/>
      <c r="H39" s="597"/>
      <c r="I39" s="596"/>
      <c r="J39" s="597"/>
      <c r="K39" s="596"/>
      <c r="L39" s="597"/>
      <c r="M39" s="596"/>
      <c r="N39" s="597"/>
      <c r="O39" s="597"/>
      <c r="P39" s="597"/>
      <c r="Q39" s="596"/>
      <c r="R39" s="597"/>
      <c r="S39" s="597"/>
      <c r="T39" s="596"/>
      <c r="U39" s="597"/>
      <c r="V39" s="596"/>
      <c r="W39" s="597"/>
      <c r="X39" s="597"/>
      <c r="Y39" s="597"/>
      <c r="Z39" s="596"/>
      <c r="AA39" s="597"/>
      <c r="AB39" s="597"/>
      <c r="AC39" s="596"/>
      <c r="AD39" s="597"/>
      <c r="AE39" s="581"/>
      <c r="AF39" s="228"/>
      <c r="AG39" s="157"/>
      <c r="AH39" s="229"/>
      <c r="AI39" s="148"/>
    </row>
    <row r="40" spans="2:36" ht="16.05" customHeight="1" x14ac:dyDescent="0.25">
      <c r="B40" s="557" t="s">
        <v>325</v>
      </c>
      <c r="C40" s="583"/>
      <c r="D40" s="595"/>
      <c r="E40" s="577"/>
      <c r="F40" s="578"/>
      <c r="G40" s="596"/>
      <c r="H40" s="597"/>
      <c r="I40" s="596"/>
      <c r="J40" s="597"/>
      <c r="K40" s="596"/>
      <c r="L40" s="597"/>
      <c r="M40" s="596"/>
      <c r="N40" s="597"/>
      <c r="O40" s="597"/>
      <c r="P40" s="597"/>
      <c r="Q40" s="596"/>
      <c r="R40" s="597"/>
      <c r="S40" s="597"/>
      <c r="T40" s="596"/>
      <c r="U40" s="597"/>
      <c r="V40" s="596"/>
      <c r="W40" s="597"/>
      <c r="X40" s="597"/>
      <c r="Y40" s="597"/>
      <c r="Z40" s="596"/>
      <c r="AA40" s="597"/>
      <c r="AB40" s="597"/>
      <c r="AC40" s="596"/>
      <c r="AD40" s="597"/>
      <c r="AE40" s="581"/>
      <c r="AF40" s="228"/>
      <c r="AG40" s="157"/>
      <c r="AH40" s="229"/>
      <c r="AI40" s="148"/>
    </row>
    <row r="41" spans="2:36" ht="16.05" customHeight="1" x14ac:dyDescent="0.25">
      <c r="B41" s="557" t="s">
        <v>332</v>
      </c>
      <c r="C41" s="575"/>
      <c r="D41" s="595"/>
      <c r="E41" s="577"/>
      <c r="F41" s="578"/>
      <c r="G41" s="596"/>
      <c r="H41" s="597"/>
      <c r="I41" s="596"/>
      <c r="J41" s="597"/>
      <c r="K41" s="596"/>
      <c r="L41" s="597"/>
      <c r="M41" s="596"/>
      <c r="N41" s="597"/>
      <c r="O41" s="597"/>
      <c r="P41" s="597"/>
      <c r="Q41" s="596"/>
      <c r="R41" s="597"/>
      <c r="S41" s="597"/>
      <c r="T41" s="596"/>
      <c r="U41" s="597"/>
      <c r="V41" s="596"/>
      <c r="W41" s="597"/>
      <c r="X41" s="597"/>
      <c r="Y41" s="597"/>
      <c r="Z41" s="596"/>
      <c r="AA41" s="597"/>
      <c r="AB41" s="597"/>
      <c r="AC41" s="596"/>
      <c r="AD41" s="597"/>
      <c r="AE41" s="581"/>
      <c r="AF41" s="228"/>
      <c r="AG41" s="157"/>
      <c r="AH41" s="229"/>
      <c r="AI41" s="148" t="s">
        <v>165</v>
      </c>
      <c r="AJ41" s="41" t="s">
        <v>244</v>
      </c>
    </row>
    <row r="42" spans="2:36" ht="16.05" customHeight="1" x14ac:dyDescent="0.25">
      <c r="B42" s="557" t="s">
        <v>333</v>
      </c>
      <c r="C42" s="575"/>
      <c r="D42" s="595"/>
      <c r="E42" s="577"/>
      <c r="F42" s="578"/>
      <c r="G42" s="596"/>
      <c r="H42" s="597"/>
      <c r="I42" s="596"/>
      <c r="J42" s="597"/>
      <c r="K42" s="596"/>
      <c r="L42" s="597"/>
      <c r="M42" s="596"/>
      <c r="N42" s="597"/>
      <c r="O42" s="597"/>
      <c r="P42" s="597"/>
      <c r="Q42" s="596"/>
      <c r="R42" s="597"/>
      <c r="S42" s="597"/>
      <c r="T42" s="596"/>
      <c r="U42" s="597"/>
      <c r="V42" s="596"/>
      <c r="W42" s="597"/>
      <c r="X42" s="597"/>
      <c r="Y42" s="597"/>
      <c r="Z42" s="596"/>
      <c r="AA42" s="597"/>
      <c r="AB42" s="597"/>
      <c r="AC42" s="596"/>
      <c r="AD42" s="597"/>
      <c r="AE42" s="581"/>
      <c r="AF42" s="228"/>
      <c r="AG42" s="157"/>
      <c r="AH42" s="229"/>
      <c r="AI42" s="148"/>
    </row>
    <row r="43" spans="2:36" ht="13.2" customHeight="1" x14ac:dyDescent="0.25">
      <c r="B43" s="575"/>
      <c r="C43" s="583"/>
      <c r="D43" s="595"/>
      <c r="E43" s="577"/>
      <c r="F43" s="578"/>
      <c r="G43" s="596"/>
      <c r="H43" s="597"/>
      <c r="I43" s="596"/>
      <c r="J43" s="597"/>
      <c r="K43" s="596"/>
      <c r="L43" s="597"/>
      <c r="M43" s="596"/>
      <c r="N43" s="597"/>
      <c r="O43" s="597"/>
      <c r="P43" s="597"/>
      <c r="Q43" s="596"/>
      <c r="R43" s="597"/>
      <c r="S43" s="597"/>
      <c r="T43" s="596"/>
      <c r="U43" s="597"/>
      <c r="V43" s="596"/>
      <c r="W43" s="597"/>
      <c r="X43" s="597"/>
      <c r="Y43" s="597"/>
      <c r="Z43" s="596"/>
      <c r="AA43" s="597"/>
      <c r="AB43" s="597"/>
      <c r="AC43" s="596"/>
      <c r="AD43" s="597"/>
      <c r="AE43" s="581"/>
      <c r="AF43" s="228"/>
      <c r="AG43" s="157"/>
      <c r="AH43" s="229"/>
      <c r="AI43" s="148"/>
    </row>
    <row r="44" spans="2:36" ht="13.2" customHeight="1" x14ac:dyDescent="0.25">
      <c r="B44" s="568"/>
      <c r="C44" s="569"/>
      <c r="D44" s="587"/>
      <c r="E44" s="327"/>
      <c r="F44" s="588"/>
      <c r="G44" s="589"/>
      <c r="H44" s="590"/>
      <c r="I44" s="591"/>
      <c r="J44" s="592"/>
      <c r="K44" s="593"/>
      <c r="L44" s="594"/>
      <c r="M44" s="589"/>
      <c r="N44" s="590"/>
      <c r="O44" s="594"/>
      <c r="P44" s="592"/>
      <c r="Q44" s="593"/>
      <c r="R44" s="594"/>
      <c r="S44" s="592"/>
      <c r="T44" s="593"/>
      <c r="U44" s="594"/>
      <c r="V44" s="589"/>
      <c r="W44" s="590"/>
      <c r="X44" s="594"/>
      <c r="Y44" s="592"/>
      <c r="Z44" s="593"/>
      <c r="AA44" s="594"/>
      <c r="AB44" s="592"/>
      <c r="AC44" s="593"/>
      <c r="AD44" s="594"/>
      <c r="AE44" s="573"/>
      <c r="AF44" s="228"/>
      <c r="AG44" s="157"/>
      <c r="AH44" s="229"/>
      <c r="AI44" s="148"/>
    </row>
    <row r="45" spans="2:36" ht="13.2" customHeight="1" x14ac:dyDescent="0.25">
      <c r="B45" s="220"/>
      <c r="C45" s="220"/>
      <c r="D45" s="268"/>
      <c r="E45" s="222"/>
      <c r="F45" s="269"/>
      <c r="G45" s="270"/>
      <c r="H45" s="271"/>
      <c r="I45" s="272"/>
      <c r="J45" s="273"/>
      <c r="K45" s="274"/>
      <c r="L45" s="275"/>
      <c r="M45" s="270"/>
      <c r="N45" s="271"/>
      <c r="O45" s="275"/>
      <c r="P45" s="273"/>
      <c r="Q45" s="274"/>
      <c r="R45" s="275"/>
      <c r="S45" s="273"/>
      <c r="T45" s="274"/>
      <c r="U45" s="275"/>
      <c r="V45" s="270"/>
      <c r="W45" s="271"/>
      <c r="X45" s="275"/>
      <c r="Y45" s="273"/>
      <c r="Z45" s="274"/>
      <c r="AA45" s="275"/>
      <c r="AB45" s="273"/>
      <c r="AC45" s="274"/>
      <c r="AD45" s="275"/>
      <c r="AE45" s="226"/>
      <c r="AF45" s="228"/>
      <c r="AG45" s="157"/>
      <c r="AH45" s="229"/>
      <c r="AI45" s="148"/>
    </row>
    <row r="46" spans="2:36" ht="13.2" customHeight="1" x14ac:dyDescent="0.25">
      <c r="B46" s="220"/>
      <c r="C46" s="220"/>
      <c r="D46" s="268"/>
      <c r="E46" s="222"/>
      <c r="F46" s="269"/>
      <c r="G46" s="270"/>
      <c r="H46" s="271"/>
      <c r="I46" s="272"/>
      <c r="J46" s="273"/>
      <c r="K46" s="274"/>
      <c r="L46" s="275"/>
      <c r="M46" s="270"/>
      <c r="N46" s="271"/>
      <c r="O46" s="275"/>
      <c r="P46" s="273"/>
      <c r="Q46" s="274"/>
      <c r="R46" s="275"/>
      <c r="S46" s="273"/>
      <c r="T46" s="274"/>
      <c r="U46" s="275"/>
      <c r="V46" s="270"/>
      <c r="W46" s="271"/>
      <c r="X46" s="275"/>
      <c r="Y46" s="273"/>
      <c r="Z46" s="274"/>
      <c r="AA46" s="275"/>
      <c r="AB46" s="273"/>
      <c r="AC46" s="274"/>
      <c r="AD46" s="275"/>
      <c r="AE46" s="226"/>
      <c r="AF46" s="228"/>
      <c r="AG46" s="157"/>
      <c r="AH46" s="229"/>
      <c r="AI46" s="148"/>
    </row>
    <row r="47" spans="2:36" ht="13.2" customHeight="1" x14ac:dyDescent="0.25">
      <c r="B47" s="220"/>
      <c r="C47" s="220"/>
      <c r="D47" s="268"/>
      <c r="E47" s="222"/>
      <c r="F47" s="269"/>
      <c r="G47" s="270"/>
      <c r="H47" s="271"/>
      <c r="I47" s="272"/>
      <c r="J47" s="273"/>
      <c r="K47" s="274"/>
      <c r="L47" s="275"/>
      <c r="M47" s="270"/>
      <c r="N47" s="271"/>
      <c r="O47" s="275"/>
      <c r="P47" s="273"/>
      <c r="Q47" s="274"/>
      <c r="R47" s="275"/>
      <c r="S47" s="273"/>
      <c r="T47" s="274"/>
      <c r="U47" s="275"/>
      <c r="V47" s="270"/>
      <c r="W47" s="271"/>
      <c r="X47" s="275"/>
      <c r="Y47" s="273"/>
      <c r="Z47" s="274"/>
      <c r="AA47" s="275"/>
      <c r="AB47" s="273"/>
      <c r="AC47" s="274"/>
      <c r="AD47" s="275"/>
      <c r="AE47" s="226"/>
      <c r="AF47" s="228"/>
      <c r="AG47" s="157"/>
      <c r="AH47" s="229"/>
      <c r="AI47" s="148"/>
    </row>
    <row r="48" spans="2:36" ht="13.2" customHeight="1" x14ac:dyDescent="0.25">
      <c r="B48" s="220"/>
      <c r="C48" s="230"/>
      <c r="D48" s="268"/>
      <c r="E48" s="222"/>
      <c r="F48" s="269"/>
      <c r="G48" s="270"/>
      <c r="H48" s="271"/>
      <c r="I48" s="272"/>
      <c r="J48" s="273"/>
      <c r="K48" s="274"/>
      <c r="L48" s="275"/>
      <c r="M48" s="270"/>
      <c r="N48" s="271"/>
      <c r="O48" s="275"/>
      <c r="P48" s="273"/>
      <c r="Q48" s="274"/>
      <c r="R48" s="275"/>
      <c r="S48" s="273"/>
      <c r="T48" s="274"/>
      <c r="U48" s="275"/>
      <c r="V48" s="270"/>
      <c r="W48" s="271"/>
      <c r="X48" s="275"/>
      <c r="Y48" s="273"/>
      <c r="Z48" s="274"/>
      <c r="AA48" s="275"/>
      <c r="AB48" s="273"/>
      <c r="AC48" s="274"/>
      <c r="AD48" s="275"/>
      <c r="AE48" s="226"/>
      <c r="AF48" s="228"/>
      <c r="AG48" s="157"/>
      <c r="AH48" s="229"/>
      <c r="AI48" s="148"/>
    </row>
    <row r="49" spans="2:35" ht="13.2" customHeight="1" x14ac:dyDescent="0.25">
      <c r="B49" s="220"/>
      <c r="C49" s="230"/>
      <c r="D49" s="268"/>
      <c r="E49" s="222"/>
      <c r="F49" s="269"/>
      <c r="G49" s="270"/>
      <c r="H49" s="271"/>
      <c r="I49" s="272"/>
      <c r="J49" s="273"/>
      <c r="K49" s="274"/>
      <c r="L49" s="275"/>
      <c r="M49" s="270"/>
      <c r="N49" s="271"/>
      <c r="O49" s="275"/>
      <c r="P49" s="273"/>
      <c r="Q49" s="274"/>
      <c r="R49" s="275"/>
      <c r="S49" s="273"/>
      <c r="T49" s="274"/>
      <c r="U49" s="275"/>
      <c r="V49" s="270"/>
      <c r="W49" s="271"/>
      <c r="X49" s="275"/>
      <c r="Y49" s="273"/>
      <c r="Z49" s="274"/>
      <c r="AA49" s="275"/>
      <c r="AB49" s="273"/>
      <c r="AC49" s="274"/>
      <c r="AD49" s="275"/>
      <c r="AE49" s="226"/>
      <c r="AF49" s="228"/>
      <c r="AG49" s="157"/>
      <c r="AH49" s="229"/>
      <c r="AI49" s="148"/>
    </row>
    <row r="50" spans="2:35" ht="13.2" customHeight="1" x14ac:dyDescent="0.25">
      <c r="B50" s="220"/>
      <c r="C50" s="220"/>
      <c r="D50" s="268"/>
      <c r="E50" s="222"/>
      <c r="F50" s="269"/>
      <c r="G50" s="270"/>
      <c r="H50" s="271"/>
      <c r="I50" s="272"/>
      <c r="J50" s="273"/>
      <c r="K50" s="274"/>
      <c r="L50" s="275"/>
      <c r="M50" s="270"/>
      <c r="N50" s="271"/>
      <c r="O50" s="275"/>
      <c r="P50" s="273"/>
      <c r="Q50" s="274"/>
      <c r="R50" s="275"/>
      <c r="S50" s="273"/>
      <c r="T50" s="274"/>
      <c r="U50" s="275"/>
      <c r="V50" s="270"/>
      <c r="W50" s="271"/>
      <c r="X50" s="275"/>
      <c r="Y50" s="273"/>
      <c r="Z50" s="274"/>
      <c r="AA50" s="275"/>
      <c r="AB50" s="273"/>
      <c r="AC50" s="274"/>
      <c r="AD50" s="275"/>
      <c r="AE50" s="226"/>
      <c r="AF50" s="228"/>
      <c r="AG50" s="157"/>
      <c r="AH50" s="229"/>
      <c r="AI50" s="148"/>
    </row>
    <row r="51" spans="2:35" ht="13.2" customHeight="1" x14ac:dyDescent="0.25">
      <c r="B51" s="220"/>
      <c r="C51" s="220"/>
      <c r="D51" s="268"/>
      <c r="E51" s="222"/>
      <c r="F51" s="269"/>
      <c r="G51" s="270"/>
      <c r="H51" s="271"/>
      <c r="I51" s="272"/>
      <c r="J51" s="273"/>
      <c r="K51" s="274"/>
      <c r="L51" s="275"/>
      <c r="M51" s="270"/>
      <c r="N51" s="271"/>
      <c r="O51" s="275"/>
      <c r="P51" s="273"/>
      <c r="Q51" s="274"/>
      <c r="R51" s="275"/>
      <c r="S51" s="273"/>
      <c r="T51" s="274"/>
      <c r="U51" s="275"/>
      <c r="V51" s="270"/>
      <c r="W51" s="271"/>
      <c r="X51" s="275"/>
      <c r="Y51" s="273"/>
      <c r="Z51" s="274"/>
      <c r="AA51" s="275"/>
      <c r="AB51" s="273"/>
      <c r="AC51" s="274"/>
      <c r="AD51" s="275"/>
      <c r="AE51" s="226"/>
      <c r="AF51" s="228"/>
      <c r="AG51" s="157"/>
      <c r="AH51" s="229"/>
      <c r="AI51" s="148"/>
    </row>
    <row r="52" spans="2:35" ht="13.2" customHeight="1" x14ac:dyDescent="0.25">
      <c r="B52" s="220"/>
      <c r="C52" s="230"/>
      <c r="D52" s="268"/>
      <c r="E52" s="222"/>
      <c r="F52" s="269"/>
      <c r="G52" s="270"/>
      <c r="H52" s="271"/>
      <c r="I52" s="272"/>
      <c r="J52" s="273"/>
      <c r="K52" s="274"/>
      <c r="L52" s="275"/>
      <c r="M52" s="270"/>
      <c r="N52" s="271"/>
      <c r="O52" s="275"/>
      <c r="P52" s="273"/>
      <c r="Q52" s="274"/>
      <c r="R52" s="275"/>
      <c r="S52" s="273"/>
      <c r="T52" s="274"/>
      <c r="U52" s="275"/>
      <c r="V52" s="270"/>
      <c r="W52" s="271"/>
      <c r="X52" s="275"/>
      <c r="Y52" s="273"/>
      <c r="Z52" s="274"/>
      <c r="AA52" s="275"/>
      <c r="AB52" s="273"/>
      <c r="AC52" s="274"/>
      <c r="AD52" s="275"/>
      <c r="AE52" s="226"/>
      <c r="AF52" s="228"/>
      <c r="AG52" s="157"/>
      <c r="AH52" s="229"/>
      <c r="AI52" s="148"/>
    </row>
    <row r="53" spans="2:35" ht="13.2" customHeight="1" x14ac:dyDescent="0.25">
      <c r="B53" s="220"/>
      <c r="C53" s="220"/>
      <c r="D53" s="268"/>
      <c r="E53" s="222"/>
      <c r="F53" s="269"/>
      <c r="G53" s="270"/>
      <c r="H53" s="271"/>
      <c r="I53" s="272"/>
      <c r="J53" s="273"/>
      <c r="K53" s="274"/>
      <c r="L53" s="275"/>
      <c r="M53" s="270"/>
      <c r="N53" s="271"/>
      <c r="O53" s="275"/>
      <c r="P53" s="273"/>
      <c r="Q53" s="274"/>
      <c r="R53" s="275"/>
      <c r="S53" s="273"/>
      <c r="T53" s="274"/>
      <c r="U53" s="275"/>
      <c r="V53" s="270"/>
      <c r="W53" s="271"/>
      <c r="X53" s="275"/>
      <c r="Y53" s="273"/>
      <c r="Z53" s="274"/>
      <c r="AA53" s="275"/>
      <c r="AB53" s="273"/>
      <c r="AC53" s="274"/>
      <c r="AD53" s="275"/>
      <c r="AE53" s="226"/>
      <c r="AF53" s="228"/>
      <c r="AG53" s="157"/>
      <c r="AH53" s="229"/>
    </row>
    <row r="54" spans="2:35" ht="13.2" customHeight="1" x14ac:dyDescent="0.25">
      <c r="B54" s="220"/>
      <c r="C54" s="220"/>
      <c r="D54" s="268"/>
      <c r="E54" s="222"/>
      <c r="F54" s="269"/>
      <c r="G54" s="270"/>
      <c r="H54" s="271"/>
      <c r="I54" s="272"/>
      <c r="J54" s="273"/>
      <c r="K54" s="274"/>
      <c r="L54" s="275"/>
      <c r="M54" s="270"/>
      <c r="N54" s="271"/>
      <c r="O54" s="275"/>
      <c r="P54" s="273"/>
      <c r="Q54" s="274"/>
      <c r="R54" s="275"/>
      <c r="S54" s="273"/>
      <c r="T54" s="274"/>
      <c r="U54" s="275"/>
      <c r="V54" s="270"/>
      <c r="W54" s="271"/>
      <c r="X54" s="275"/>
      <c r="Y54" s="273"/>
      <c r="Z54" s="274"/>
      <c r="AA54" s="275"/>
      <c r="AB54" s="273"/>
      <c r="AC54" s="274"/>
      <c r="AD54" s="275"/>
      <c r="AE54" s="226"/>
      <c r="AF54" s="228"/>
      <c r="AG54" s="157"/>
      <c r="AH54" s="229"/>
    </row>
    <row r="55" spans="2:35" ht="13.2" customHeight="1" x14ac:dyDescent="0.25">
      <c r="B55" s="220"/>
      <c r="C55" s="220"/>
      <c r="D55" s="268"/>
      <c r="E55" s="222"/>
      <c r="F55" s="269"/>
      <c r="G55" s="270"/>
      <c r="H55" s="271"/>
      <c r="I55" s="272"/>
      <c r="J55" s="273"/>
      <c r="K55" s="274"/>
      <c r="L55" s="275"/>
      <c r="M55" s="270"/>
      <c r="N55" s="271"/>
      <c r="O55" s="275"/>
      <c r="P55" s="273"/>
      <c r="Q55" s="274"/>
      <c r="R55" s="275"/>
      <c r="S55" s="273"/>
      <c r="T55" s="274"/>
      <c r="U55" s="275"/>
      <c r="V55" s="270"/>
      <c r="W55" s="271"/>
      <c r="X55" s="275"/>
      <c r="Y55" s="273"/>
      <c r="Z55" s="274"/>
      <c r="AA55" s="275"/>
      <c r="AB55" s="273"/>
      <c r="AC55" s="274"/>
      <c r="AD55" s="275"/>
      <c r="AE55" s="226"/>
      <c r="AF55" s="228"/>
      <c r="AG55" s="157"/>
      <c r="AH55" s="229"/>
      <c r="AI55" s="148"/>
    </row>
  </sheetData>
  <sortState ref="A16:AL32">
    <sortCondition descending="1" ref="A16:A32"/>
  </sortState>
  <mergeCells count="7">
    <mergeCell ref="B7:AE7"/>
    <mergeCell ref="B1:AE1"/>
    <mergeCell ref="B2:AE2"/>
    <mergeCell ref="B5:AE5"/>
    <mergeCell ref="B6:AE6"/>
    <mergeCell ref="B3:AE3"/>
    <mergeCell ref="B4:AE4"/>
  </mergeCells>
  <phoneticPr fontId="0" type="noConversion"/>
  <printOptions horizontalCentered="1"/>
  <pageMargins left="0.17" right="0.17" top="0.3" bottom="0.23" header="0.23" footer="0.17"/>
  <pageSetup paperSize="9" scale="94" orientation="landscape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D661"/>
  </sheetPr>
  <dimension ref="A1:AJ48"/>
  <sheetViews>
    <sheetView view="pageBreakPreview" topLeftCell="A26" zoomScale="80" zoomScaleNormal="80" zoomScaleSheetLayoutView="80" workbookViewId="0">
      <selection activeCell="Q26" sqref="Q26"/>
    </sheetView>
  </sheetViews>
  <sheetFormatPr defaultColWidth="9.109375" defaultRowHeight="13.2" outlineLevelCol="1" x14ac:dyDescent="0.25"/>
  <cols>
    <col min="1" max="1" width="8.5546875" style="41" customWidth="1" outlineLevel="1"/>
    <col min="2" max="2" width="5.77734375" style="41" customWidth="1"/>
    <col min="3" max="3" width="5" style="761" customWidth="1"/>
    <col min="4" max="4" width="18.6640625" style="41" customWidth="1"/>
    <col min="5" max="5" width="10.109375" style="41" customWidth="1" outlineLevel="1"/>
    <col min="6" max="6" width="16.88671875" style="41" customWidth="1" outlineLevel="1"/>
    <col min="7" max="9" width="3.33203125" style="761" customWidth="1" outlineLevel="1"/>
    <col min="10" max="10" width="3.5546875" style="761" customWidth="1" outlineLevel="1"/>
    <col min="11" max="12" width="3.33203125" style="41" customWidth="1" outlineLevel="1"/>
    <col min="13" max="20" width="3.33203125" style="761" customWidth="1" outlineLevel="1"/>
    <col min="21" max="21" width="3.33203125" style="41" customWidth="1" outlineLevel="1"/>
    <col min="22" max="29" width="3.33203125" style="761" customWidth="1" outlineLevel="1"/>
    <col min="30" max="30" width="3.33203125" style="41" customWidth="1" outlineLevel="1"/>
    <col min="31" max="31" width="8.88671875" style="41" bestFit="1" customWidth="1"/>
    <col min="32" max="32" width="5.109375" style="149" bestFit="1" customWidth="1"/>
    <col min="33" max="33" width="5.6640625" style="149" customWidth="1"/>
    <col min="34" max="34" width="9.33203125" style="41" bestFit="1" customWidth="1" outlineLevel="1"/>
    <col min="35" max="16384" width="9.109375" style="41"/>
  </cols>
  <sheetData>
    <row r="1" spans="1:35" x14ac:dyDescent="0.25">
      <c r="B1" s="805" t="s">
        <v>119</v>
      </c>
      <c r="C1" s="805"/>
      <c r="D1" s="805"/>
      <c r="E1" s="805"/>
      <c r="F1" s="805"/>
      <c r="G1" s="805"/>
      <c r="H1" s="805"/>
      <c r="I1" s="805"/>
      <c r="J1" s="805"/>
      <c r="K1" s="805"/>
      <c r="L1" s="805"/>
      <c r="M1" s="805"/>
      <c r="N1" s="805"/>
      <c r="O1" s="805"/>
      <c r="P1" s="805"/>
      <c r="Q1" s="805"/>
      <c r="R1" s="805"/>
      <c r="S1" s="805"/>
      <c r="T1" s="805"/>
      <c r="U1" s="805"/>
      <c r="V1" s="805"/>
      <c r="W1" s="805"/>
      <c r="X1" s="805"/>
      <c r="Y1" s="805"/>
      <c r="Z1" s="805"/>
      <c r="AA1" s="805"/>
      <c r="AB1" s="805"/>
      <c r="AC1" s="805"/>
      <c r="AD1" s="805"/>
      <c r="AE1" s="805"/>
      <c r="AH1" s="145"/>
    </row>
    <row r="2" spans="1:35" x14ac:dyDescent="0.25">
      <c r="B2" s="805" t="s">
        <v>10</v>
      </c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O2" s="805"/>
      <c r="P2" s="805"/>
      <c r="Q2" s="805"/>
      <c r="R2" s="805"/>
      <c r="S2" s="805"/>
      <c r="T2" s="805"/>
      <c r="U2" s="805"/>
      <c r="V2" s="805"/>
      <c r="W2" s="805"/>
      <c r="X2" s="805"/>
      <c r="Y2" s="805"/>
      <c r="Z2" s="805"/>
      <c r="AA2" s="805"/>
      <c r="AB2" s="805"/>
      <c r="AC2" s="805"/>
      <c r="AD2" s="805"/>
      <c r="AE2" s="805"/>
      <c r="AH2" s="145"/>
    </row>
    <row r="3" spans="1:35" x14ac:dyDescent="0.25">
      <c r="B3" s="805" t="s">
        <v>351</v>
      </c>
      <c r="C3" s="805"/>
      <c r="D3" s="805"/>
      <c r="E3" s="805"/>
      <c r="F3" s="805"/>
      <c r="G3" s="805"/>
      <c r="H3" s="805"/>
      <c r="I3" s="805"/>
      <c r="J3" s="805"/>
      <c r="K3" s="805"/>
      <c r="L3" s="805"/>
      <c r="M3" s="805"/>
      <c r="N3" s="805"/>
      <c r="O3" s="805"/>
      <c r="P3" s="805"/>
      <c r="Q3" s="805"/>
      <c r="R3" s="805"/>
      <c r="S3" s="805"/>
      <c r="T3" s="805"/>
      <c r="U3" s="805"/>
      <c r="V3" s="805"/>
      <c r="W3" s="805"/>
      <c r="X3" s="805"/>
      <c r="Y3" s="805"/>
      <c r="Z3" s="805"/>
      <c r="AA3" s="805"/>
      <c r="AB3" s="805"/>
      <c r="AC3" s="805"/>
      <c r="AD3" s="805"/>
      <c r="AE3" s="805"/>
      <c r="AH3" s="145"/>
    </row>
    <row r="4" spans="1:35" x14ac:dyDescent="0.25">
      <c r="B4" s="805" t="s">
        <v>322</v>
      </c>
      <c r="C4" s="805"/>
      <c r="D4" s="805"/>
      <c r="E4" s="805"/>
      <c r="F4" s="805"/>
      <c r="G4" s="805"/>
      <c r="H4" s="805"/>
      <c r="I4" s="805"/>
      <c r="J4" s="805"/>
      <c r="K4" s="805"/>
      <c r="L4" s="805"/>
      <c r="M4" s="805"/>
      <c r="N4" s="805"/>
      <c r="O4" s="805"/>
      <c r="P4" s="805"/>
      <c r="Q4" s="805"/>
      <c r="R4" s="805"/>
      <c r="S4" s="805"/>
      <c r="T4" s="805"/>
      <c r="U4" s="805"/>
      <c r="V4" s="805"/>
      <c r="W4" s="805"/>
      <c r="X4" s="805"/>
      <c r="Y4" s="805"/>
      <c r="Z4" s="805"/>
      <c r="AA4" s="805"/>
      <c r="AB4" s="805"/>
      <c r="AC4" s="805"/>
      <c r="AD4" s="805"/>
      <c r="AE4" s="805"/>
      <c r="AH4" s="145"/>
    </row>
    <row r="5" spans="1:35" x14ac:dyDescent="0.25">
      <c r="B5" s="805" t="s">
        <v>101</v>
      </c>
      <c r="C5" s="805"/>
      <c r="D5" s="805"/>
      <c r="E5" s="805"/>
      <c r="F5" s="805"/>
      <c r="G5" s="805"/>
      <c r="H5" s="805"/>
      <c r="I5" s="805"/>
      <c r="J5" s="805"/>
      <c r="K5" s="805"/>
      <c r="L5" s="805"/>
      <c r="M5" s="805"/>
      <c r="N5" s="805"/>
      <c r="O5" s="805"/>
      <c r="P5" s="805"/>
      <c r="Q5" s="805"/>
      <c r="R5" s="805"/>
      <c r="S5" s="805"/>
      <c r="T5" s="805"/>
      <c r="U5" s="805"/>
      <c r="V5" s="805"/>
      <c r="W5" s="805"/>
      <c r="X5" s="805"/>
      <c r="Y5" s="805"/>
      <c r="Z5" s="805"/>
      <c r="AA5" s="805"/>
      <c r="AB5" s="805"/>
      <c r="AC5" s="805"/>
      <c r="AD5" s="805"/>
      <c r="AE5" s="805"/>
      <c r="AH5" s="145"/>
    </row>
    <row r="6" spans="1:35" x14ac:dyDescent="0.25">
      <c r="B6" s="806" t="s">
        <v>12</v>
      </c>
      <c r="C6" s="806"/>
      <c r="D6" s="806"/>
      <c r="E6" s="806"/>
      <c r="F6" s="806"/>
      <c r="G6" s="806"/>
      <c r="H6" s="806"/>
      <c r="I6" s="806"/>
      <c r="J6" s="806"/>
      <c r="K6" s="806"/>
      <c r="L6" s="806"/>
      <c r="M6" s="806"/>
      <c r="N6" s="806"/>
      <c r="O6" s="806"/>
      <c r="P6" s="806"/>
      <c r="Q6" s="806"/>
      <c r="R6" s="806"/>
      <c r="S6" s="806"/>
      <c r="T6" s="806"/>
      <c r="U6" s="806"/>
      <c r="V6" s="806"/>
      <c r="W6" s="806"/>
      <c r="X6" s="806"/>
      <c r="Y6" s="806"/>
      <c r="Z6" s="806"/>
      <c r="AA6" s="806"/>
      <c r="AB6" s="806"/>
      <c r="AC6" s="806"/>
      <c r="AD6" s="806"/>
      <c r="AE6" s="806"/>
      <c r="AH6" s="145"/>
    </row>
    <row r="7" spans="1:35" x14ac:dyDescent="0.25">
      <c r="B7" s="801" t="s">
        <v>249</v>
      </c>
      <c r="C7" s="801"/>
      <c r="D7" s="801"/>
      <c r="E7" s="801"/>
      <c r="F7" s="801"/>
      <c r="G7" s="801"/>
      <c r="H7" s="801"/>
      <c r="I7" s="801"/>
      <c r="J7" s="801"/>
      <c r="K7" s="801"/>
      <c r="L7" s="801"/>
      <c r="M7" s="801"/>
      <c r="N7" s="801"/>
      <c r="O7" s="801"/>
      <c r="P7" s="801"/>
      <c r="Q7" s="801"/>
      <c r="R7" s="801"/>
      <c r="S7" s="801"/>
      <c r="T7" s="801"/>
      <c r="U7" s="801"/>
      <c r="V7" s="801"/>
      <c r="W7" s="801"/>
      <c r="X7" s="801"/>
      <c r="Y7" s="801"/>
      <c r="Z7" s="801"/>
      <c r="AA7" s="801"/>
      <c r="AB7" s="801"/>
      <c r="AC7" s="801"/>
      <c r="AD7" s="801"/>
      <c r="AE7" s="801"/>
      <c r="AH7" s="145"/>
    </row>
    <row r="8" spans="1:35" ht="15.6" x14ac:dyDescent="0.3">
      <c r="C8" s="151"/>
      <c r="D8" s="761"/>
      <c r="G8" s="251"/>
      <c r="J8" s="252"/>
      <c r="K8" s="253"/>
      <c r="L8" s="254"/>
      <c r="N8" s="153"/>
      <c r="AH8" s="145"/>
    </row>
    <row r="9" spans="1:35" x14ac:dyDescent="0.25">
      <c r="B9" s="203" t="s">
        <v>463</v>
      </c>
      <c r="C9" s="147"/>
      <c r="D9" s="38"/>
      <c r="F9" s="760" t="s">
        <v>334</v>
      </c>
      <c r="G9" s="251"/>
      <c r="J9" s="255">
        <v>0</v>
      </c>
      <c r="L9" s="147"/>
      <c r="M9" s="764"/>
      <c r="N9" s="764"/>
      <c r="O9" s="764"/>
      <c r="P9" s="764"/>
      <c r="Q9" s="764"/>
      <c r="R9" s="764"/>
      <c r="S9" s="764"/>
      <c r="T9" s="764"/>
      <c r="U9" s="147"/>
      <c r="V9" s="764"/>
      <c r="W9" s="764"/>
      <c r="X9" s="764"/>
      <c r="Y9" s="764"/>
      <c r="Z9" s="764"/>
      <c r="AA9" s="764"/>
      <c r="AB9" s="764"/>
      <c r="AC9" s="764"/>
      <c r="AD9" s="276" t="s">
        <v>253</v>
      </c>
      <c r="AE9" s="207">
        <v>0.70833333333333337</v>
      </c>
      <c r="AH9" s="152"/>
    </row>
    <row r="10" spans="1:35" ht="16.2" thickBot="1" x14ac:dyDescent="0.35">
      <c r="B10" s="41" t="s">
        <v>261</v>
      </c>
      <c r="C10" s="153"/>
      <c r="D10" s="761"/>
      <c r="E10" s="761"/>
      <c r="F10" s="151"/>
      <c r="H10" s="41"/>
      <c r="AD10" s="206" t="s">
        <v>254</v>
      </c>
      <c r="AE10" s="257"/>
      <c r="AH10" s="152"/>
    </row>
    <row r="11" spans="1:35" ht="15.6" hidden="1" x14ac:dyDescent="0.3">
      <c r="C11" s="153"/>
      <c r="D11" s="761"/>
      <c r="E11" s="761"/>
      <c r="G11" s="151"/>
      <c r="H11" s="41"/>
      <c r="I11" s="41"/>
      <c r="AE11" s="214"/>
      <c r="AH11" s="152"/>
    </row>
    <row r="12" spans="1:35" ht="15.6" hidden="1" x14ac:dyDescent="0.3">
      <c r="C12" s="153" t="s">
        <v>11</v>
      </c>
      <c r="D12" s="761"/>
      <c r="E12" s="761"/>
      <c r="G12" s="151" t="s">
        <v>249</v>
      </c>
      <c r="H12" s="41"/>
      <c r="I12" s="41"/>
      <c r="AH12" s="145"/>
    </row>
    <row r="13" spans="1:35" ht="16.2" hidden="1" thickBot="1" x14ac:dyDescent="0.35">
      <c r="C13" s="153"/>
      <c r="D13" s="761"/>
      <c r="E13" s="761"/>
      <c r="G13" s="151"/>
      <c r="H13" s="41"/>
      <c r="I13" s="41"/>
      <c r="AH13" s="145"/>
    </row>
    <row r="14" spans="1:35" s="266" customFormat="1" ht="13.8" thickBot="1" x14ac:dyDescent="0.3">
      <c r="A14" s="249"/>
      <c r="B14" s="154" t="s">
        <v>260</v>
      </c>
      <c r="C14" s="249" t="s">
        <v>20</v>
      </c>
      <c r="D14" s="249" t="s">
        <v>16</v>
      </c>
      <c r="E14" s="249" t="s">
        <v>0</v>
      </c>
      <c r="F14" s="258" t="s">
        <v>8</v>
      </c>
      <c r="G14" s="259"/>
      <c r="H14" s="260"/>
      <c r="I14" s="261"/>
      <c r="J14" s="259"/>
      <c r="K14" s="260"/>
      <c r="L14" s="261"/>
      <c r="M14" s="259"/>
      <c r="N14" s="260"/>
      <c r="O14" s="261"/>
      <c r="P14" s="260"/>
      <c r="Q14" s="260"/>
      <c r="R14" s="260"/>
      <c r="S14" s="259"/>
      <c r="T14" s="260"/>
      <c r="U14" s="261"/>
      <c r="V14" s="259"/>
      <c r="W14" s="260"/>
      <c r="X14" s="261"/>
      <c r="Y14" s="260"/>
      <c r="Z14" s="260"/>
      <c r="AA14" s="260"/>
      <c r="AB14" s="259"/>
      <c r="AC14" s="260"/>
      <c r="AD14" s="261"/>
      <c r="AE14" s="262" t="s">
        <v>19</v>
      </c>
      <c r="AF14" s="263"/>
      <c r="AG14" s="264"/>
      <c r="AH14" s="265"/>
    </row>
    <row r="15" spans="1:35" s="760" customFormat="1" hidden="1" x14ac:dyDescent="0.25">
      <c r="F15" s="267"/>
      <c r="I15" s="267"/>
      <c r="L15" s="267"/>
      <c r="O15" s="267"/>
      <c r="U15" s="267"/>
      <c r="X15" s="267"/>
      <c r="AD15" s="267"/>
      <c r="AF15" s="157"/>
      <c r="AG15" s="157"/>
      <c r="AH15" s="152"/>
    </row>
    <row r="16" spans="1:35" ht="15" customHeight="1" x14ac:dyDescent="0.25">
      <c r="B16" s="220">
        <v>1</v>
      </c>
      <c r="C16" s="162">
        <v>74</v>
      </c>
      <c r="D16" s="268" t="s">
        <v>283</v>
      </c>
      <c r="E16" s="222" t="s">
        <v>284</v>
      </c>
      <c r="F16" s="223" t="s">
        <v>386</v>
      </c>
      <c r="G16" s="274"/>
      <c r="H16" s="271"/>
      <c r="I16" s="274"/>
      <c r="J16" s="271"/>
      <c r="K16" s="274"/>
      <c r="L16" s="271"/>
      <c r="M16" s="274"/>
      <c r="N16" s="271"/>
      <c r="O16" s="271"/>
      <c r="P16" s="271"/>
      <c r="Q16" s="274"/>
      <c r="R16" s="271"/>
      <c r="S16" s="271"/>
      <c r="T16" s="274"/>
      <c r="U16" s="271"/>
      <c r="V16" s="274"/>
      <c r="W16" s="271"/>
      <c r="X16" s="271"/>
      <c r="Y16" s="271"/>
      <c r="Z16" s="274"/>
      <c r="AA16" s="271"/>
      <c r="AB16" s="271"/>
      <c r="AC16" s="274"/>
      <c r="AD16" s="598"/>
      <c r="AE16" s="324">
        <v>1.91</v>
      </c>
      <c r="AF16" s="228"/>
      <c r="AG16" s="157"/>
      <c r="AH16" s="229"/>
      <c r="AI16" s="761" t="s">
        <v>165</v>
      </c>
    </row>
    <row r="17" spans="2:35" ht="15" customHeight="1" x14ac:dyDescent="0.25">
      <c r="B17" s="220">
        <v>2</v>
      </c>
      <c r="C17" s="162">
        <v>2</v>
      </c>
      <c r="D17" s="268" t="s">
        <v>293</v>
      </c>
      <c r="E17" s="222" t="s">
        <v>294</v>
      </c>
      <c r="F17" s="223" t="s">
        <v>354</v>
      </c>
      <c r="G17" s="274"/>
      <c r="H17" s="271"/>
      <c r="I17" s="274"/>
      <c r="J17" s="271"/>
      <c r="K17" s="274"/>
      <c r="L17" s="271"/>
      <c r="M17" s="274"/>
      <c r="N17" s="271"/>
      <c r="O17" s="271"/>
      <c r="P17" s="271"/>
      <c r="Q17" s="274"/>
      <c r="R17" s="271"/>
      <c r="S17" s="271"/>
      <c r="T17" s="274"/>
      <c r="U17" s="271"/>
      <c r="V17" s="274"/>
      <c r="W17" s="271"/>
      <c r="X17" s="271"/>
      <c r="Y17" s="271"/>
      <c r="Z17" s="274"/>
      <c r="AA17" s="271"/>
      <c r="AB17" s="271"/>
      <c r="AC17" s="274"/>
      <c r="AD17" s="598"/>
      <c r="AE17" s="324">
        <v>1.85</v>
      </c>
      <c r="AF17" s="228"/>
      <c r="AG17" s="157"/>
      <c r="AH17" s="229"/>
      <c r="AI17" s="761"/>
    </row>
    <row r="18" spans="2:35" ht="15" customHeight="1" x14ac:dyDescent="0.25">
      <c r="B18" s="220">
        <v>3</v>
      </c>
      <c r="C18" s="162">
        <v>113</v>
      </c>
      <c r="D18" s="268" t="s">
        <v>440</v>
      </c>
      <c r="E18" s="222" t="s">
        <v>441</v>
      </c>
      <c r="F18" s="223" t="s">
        <v>443</v>
      </c>
      <c r="G18" s="274"/>
      <c r="H18" s="271"/>
      <c r="I18" s="274"/>
      <c r="J18" s="271"/>
      <c r="K18" s="274"/>
      <c r="L18" s="271"/>
      <c r="M18" s="274"/>
      <c r="N18" s="271"/>
      <c r="O18" s="271"/>
      <c r="P18" s="271"/>
      <c r="Q18" s="274"/>
      <c r="R18" s="271"/>
      <c r="S18" s="271"/>
      <c r="T18" s="274"/>
      <c r="U18" s="271"/>
      <c r="V18" s="274"/>
      <c r="W18" s="271"/>
      <c r="X18" s="271"/>
      <c r="Y18" s="271"/>
      <c r="Z18" s="274"/>
      <c r="AA18" s="271"/>
      <c r="AB18" s="271"/>
      <c r="AC18" s="274"/>
      <c r="AD18" s="598"/>
      <c r="AE18" s="324">
        <v>1.97</v>
      </c>
      <c r="AF18" s="228"/>
      <c r="AG18" s="157"/>
      <c r="AH18" s="229"/>
      <c r="AI18" s="761"/>
    </row>
    <row r="19" spans="2:35" ht="15" customHeight="1" x14ac:dyDescent="0.25">
      <c r="B19" s="220">
        <v>4</v>
      </c>
      <c r="C19" s="162">
        <v>114</v>
      </c>
      <c r="D19" s="268" t="s">
        <v>446</v>
      </c>
      <c r="E19" s="222" t="s">
        <v>447</v>
      </c>
      <c r="F19" s="223" t="s">
        <v>448</v>
      </c>
      <c r="G19" s="274"/>
      <c r="H19" s="271"/>
      <c r="I19" s="274"/>
      <c r="J19" s="271"/>
      <c r="K19" s="274"/>
      <c r="L19" s="271"/>
      <c r="M19" s="274"/>
      <c r="N19" s="271"/>
      <c r="O19" s="271"/>
      <c r="P19" s="271"/>
      <c r="Q19" s="274"/>
      <c r="R19" s="271"/>
      <c r="S19" s="271"/>
      <c r="T19" s="274"/>
      <c r="U19" s="271"/>
      <c r="V19" s="274"/>
      <c r="W19" s="271"/>
      <c r="X19" s="271"/>
      <c r="Y19" s="271"/>
      <c r="Z19" s="274"/>
      <c r="AA19" s="271"/>
      <c r="AB19" s="271"/>
      <c r="AC19" s="274"/>
      <c r="AD19" s="598"/>
      <c r="AE19" s="324">
        <v>1.76</v>
      </c>
      <c r="AF19" s="228"/>
      <c r="AG19" s="157"/>
      <c r="AH19" s="229"/>
      <c r="AI19" s="761"/>
    </row>
    <row r="20" spans="2:35" ht="15" customHeight="1" x14ac:dyDescent="0.25">
      <c r="B20" s="220">
        <v>5</v>
      </c>
      <c r="C20" s="162">
        <v>81</v>
      </c>
      <c r="D20" s="268" t="s">
        <v>408</v>
      </c>
      <c r="E20" s="222" t="s">
        <v>409</v>
      </c>
      <c r="F20" s="223" t="s">
        <v>399</v>
      </c>
      <c r="G20" s="274"/>
      <c r="H20" s="271"/>
      <c r="I20" s="274"/>
      <c r="J20" s="271"/>
      <c r="K20" s="274"/>
      <c r="L20" s="271"/>
      <c r="M20" s="274"/>
      <c r="N20" s="271"/>
      <c r="O20" s="271"/>
      <c r="P20" s="271"/>
      <c r="Q20" s="274"/>
      <c r="R20" s="271"/>
      <c r="S20" s="271"/>
      <c r="T20" s="274"/>
      <c r="U20" s="271"/>
      <c r="V20" s="274"/>
      <c r="W20" s="271"/>
      <c r="X20" s="271"/>
      <c r="Y20" s="271"/>
      <c r="Z20" s="274"/>
      <c r="AA20" s="271"/>
      <c r="AB20" s="271"/>
      <c r="AC20" s="274"/>
      <c r="AD20" s="598"/>
      <c r="AE20" s="324">
        <v>1.79</v>
      </c>
      <c r="AF20" s="228"/>
      <c r="AG20" s="157"/>
      <c r="AH20" s="229"/>
      <c r="AI20" s="761"/>
    </row>
    <row r="21" spans="2:35" ht="15" customHeight="1" x14ac:dyDescent="0.25">
      <c r="B21" s="220">
        <v>6</v>
      </c>
      <c r="C21" s="162">
        <v>22</v>
      </c>
      <c r="D21" s="268" t="s">
        <v>285</v>
      </c>
      <c r="E21" s="222" t="s">
        <v>286</v>
      </c>
      <c r="F21" s="223" t="s">
        <v>356</v>
      </c>
      <c r="G21" s="274"/>
      <c r="H21" s="271"/>
      <c r="I21" s="274"/>
      <c r="J21" s="271"/>
      <c r="K21" s="274"/>
      <c r="L21" s="271"/>
      <c r="M21" s="274"/>
      <c r="N21" s="271"/>
      <c r="O21" s="271"/>
      <c r="P21" s="271"/>
      <c r="Q21" s="274"/>
      <c r="R21" s="271"/>
      <c r="S21" s="271"/>
      <c r="T21" s="274"/>
      <c r="U21" s="271"/>
      <c r="V21" s="274"/>
      <c r="W21" s="271"/>
      <c r="X21" s="271"/>
      <c r="Y21" s="271"/>
      <c r="Z21" s="274"/>
      <c r="AA21" s="271"/>
      <c r="AB21" s="271"/>
      <c r="AC21" s="274"/>
      <c r="AD21" s="598"/>
      <c r="AE21" s="324">
        <v>1.88</v>
      </c>
      <c r="AF21" s="228"/>
      <c r="AG21" s="157"/>
      <c r="AH21" s="229"/>
      <c r="AI21" s="761"/>
    </row>
    <row r="22" spans="2:35" ht="15" customHeight="1" x14ac:dyDescent="0.25">
      <c r="B22" s="220">
        <v>7</v>
      </c>
      <c r="C22" s="162">
        <v>100</v>
      </c>
      <c r="D22" s="268" t="s">
        <v>435</v>
      </c>
      <c r="E22" s="222" t="s">
        <v>436</v>
      </c>
      <c r="F22" s="223" t="s">
        <v>437</v>
      </c>
      <c r="G22" s="274"/>
      <c r="H22" s="271"/>
      <c r="I22" s="274"/>
      <c r="J22" s="271"/>
      <c r="K22" s="274"/>
      <c r="L22" s="271"/>
      <c r="M22" s="274"/>
      <c r="N22" s="271"/>
      <c r="O22" s="271"/>
      <c r="P22" s="271"/>
      <c r="Q22" s="274"/>
      <c r="R22" s="271"/>
      <c r="S22" s="271"/>
      <c r="T22" s="274"/>
      <c r="U22" s="271"/>
      <c r="V22" s="274"/>
      <c r="W22" s="271"/>
      <c r="X22" s="271"/>
      <c r="Y22" s="271"/>
      <c r="Z22" s="274"/>
      <c r="AA22" s="271"/>
      <c r="AB22" s="271"/>
      <c r="AC22" s="274"/>
      <c r="AD22" s="598"/>
      <c r="AE22" s="324">
        <v>1.79</v>
      </c>
      <c r="AF22" s="228"/>
      <c r="AG22" s="157"/>
      <c r="AH22" s="229"/>
      <c r="AI22" s="761"/>
    </row>
    <row r="23" spans="2:35" ht="15" customHeight="1" x14ac:dyDescent="0.25">
      <c r="B23" s="220">
        <v>8</v>
      </c>
      <c r="C23" s="162">
        <v>41</v>
      </c>
      <c r="D23" s="268" t="s">
        <v>362</v>
      </c>
      <c r="E23" s="222" t="s">
        <v>363</v>
      </c>
      <c r="F23" s="223" t="s">
        <v>364</v>
      </c>
      <c r="G23" s="274"/>
      <c r="H23" s="271"/>
      <c r="I23" s="274"/>
      <c r="J23" s="271"/>
      <c r="K23" s="274"/>
      <c r="L23" s="271"/>
      <c r="M23" s="274"/>
      <c r="N23" s="271"/>
      <c r="O23" s="271"/>
      <c r="P23" s="271"/>
      <c r="Q23" s="274"/>
      <c r="R23" s="271"/>
      <c r="S23" s="271"/>
      <c r="T23" s="274"/>
      <c r="U23" s="271"/>
      <c r="V23" s="274"/>
      <c r="W23" s="271"/>
      <c r="X23" s="271"/>
      <c r="Y23" s="271"/>
      <c r="Z23" s="274"/>
      <c r="AA23" s="271"/>
      <c r="AB23" s="271"/>
      <c r="AC23" s="274"/>
      <c r="AD23" s="598"/>
      <c r="AE23" s="324">
        <v>1.94</v>
      </c>
      <c r="AF23" s="228"/>
      <c r="AG23" s="157"/>
      <c r="AH23" s="229"/>
    </row>
    <row r="24" spans="2:35" ht="15" customHeight="1" x14ac:dyDescent="0.25">
      <c r="B24" s="220">
        <v>9</v>
      </c>
      <c r="C24" s="162">
        <v>98</v>
      </c>
      <c r="D24" s="268" t="s">
        <v>431</v>
      </c>
      <c r="E24" s="222" t="s">
        <v>432</v>
      </c>
      <c r="F24" s="223" t="s">
        <v>424</v>
      </c>
      <c r="G24" s="274"/>
      <c r="H24" s="271"/>
      <c r="I24" s="274"/>
      <c r="J24" s="271"/>
      <c r="K24" s="274"/>
      <c r="L24" s="271"/>
      <c r="M24" s="274"/>
      <c r="N24" s="271"/>
      <c r="O24" s="271"/>
      <c r="P24" s="271"/>
      <c r="Q24" s="274"/>
      <c r="R24" s="271"/>
      <c r="S24" s="271"/>
      <c r="T24" s="274"/>
      <c r="U24" s="271"/>
      <c r="V24" s="274"/>
      <c r="W24" s="271"/>
      <c r="X24" s="271"/>
      <c r="Y24" s="271"/>
      <c r="Z24" s="274"/>
      <c r="AA24" s="271"/>
      <c r="AB24" s="271"/>
      <c r="AC24" s="274"/>
      <c r="AD24" s="598"/>
      <c r="AE24" s="324">
        <v>1.7</v>
      </c>
      <c r="AF24" s="228"/>
      <c r="AG24" s="157"/>
      <c r="AH24" s="229"/>
      <c r="AI24" s="761"/>
    </row>
    <row r="25" spans="2:35" ht="15" customHeight="1" x14ac:dyDescent="0.25">
      <c r="B25" s="220">
        <v>10</v>
      </c>
      <c r="C25" s="162">
        <v>79</v>
      </c>
      <c r="D25" s="268" t="s">
        <v>291</v>
      </c>
      <c r="E25" s="222" t="s">
        <v>292</v>
      </c>
      <c r="F25" s="223" t="s">
        <v>394</v>
      </c>
      <c r="G25" s="274"/>
      <c r="H25" s="271"/>
      <c r="I25" s="274"/>
      <c r="J25" s="271"/>
      <c r="K25" s="274"/>
      <c r="L25" s="271"/>
      <c r="M25" s="274"/>
      <c r="N25" s="271"/>
      <c r="O25" s="271"/>
      <c r="P25" s="271"/>
      <c r="Q25" s="274"/>
      <c r="R25" s="271"/>
      <c r="S25" s="271"/>
      <c r="T25" s="274"/>
      <c r="U25" s="271"/>
      <c r="V25" s="274"/>
      <c r="W25" s="271"/>
      <c r="X25" s="271"/>
      <c r="Y25" s="271"/>
      <c r="Z25" s="274"/>
      <c r="AA25" s="271"/>
      <c r="AB25" s="271"/>
      <c r="AC25" s="274"/>
      <c r="AD25" s="598"/>
      <c r="AE25" s="324">
        <v>1.97</v>
      </c>
      <c r="AF25" s="228"/>
      <c r="AG25" s="157"/>
      <c r="AH25" s="229"/>
      <c r="AI25" s="761"/>
    </row>
    <row r="26" spans="2:35" ht="15" customHeight="1" x14ac:dyDescent="0.25">
      <c r="B26" s="220">
        <v>11</v>
      </c>
      <c r="C26" s="162">
        <v>75</v>
      </c>
      <c r="D26" s="268" t="s">
        <v>289</v>
      </c>
      <c r="E26" s="222" t="s">
        <v>290</v>
      </c>
      <c r="F26" s="223" t="s">
        <v>388</v>
      </c>
      <c r="G26" s="274"/>
      <c r="H26" s="271"/>
      <c r="I26" s="274"/>
      <c r="J26" s="271"/>
      <c r="K26" s="274"/>
      <c r="L26" s="271"/>
      <c r="M26" s="274"/>
      <c r="N26" s="271"/>
      <c r="O26" s="271"/>
      <c r="P26" s="271"/>
      <c r="Q26" s="274"/>
      <c r="R26" s="271"/>
      <c r="S26" s="271"/>
      <c r="T26" s="274"/>
      <c r="U26" s="271"/>
      <c r="V26" s="274"/>
      <c r="W26" s="271"/>
      <c r="X26" s="271"/>
      <c r="Y26" s="271"/>
      <c r="Z26" s="274"/>
      <c r="AA26" s="271"/>
      <c r="AB26" s="271"/>
      <c r="AC26" s="274"/>
      <c r="AD26" s="598"/>
      <c r="AE26" s="324">
        <v>1.7</v>
      </c>
      <c r="AF26" s="228"/>
      <c r="AG26" s="157"/>
      <c r="AH26" s="229"/>
      <c r="AI26" s="761"/>
    </row>
    <row r="27" spans="2:35" ht="15" customHeight="1" x14ac:dyDescent="0.25">
      <c r="B27" s="220">
        <v>12</v>
      </c>
      <c r="C27" s="162">
        <v>39</v>
      </c>
      <c r="D27" s="268" t="s">
        <v>367</v>
      </c>
      <c r="E27" s="222" t="s">
        <v>368</v>
      </c>
      <c r="F27" s="223" t="s">
        <v>364</v>
      </c>
      <c r="G27" s="274"/>
      <c r="H27" s="271"/>
      <c r="I27" s="274"/>
      <c r="J27" s="271"/>
      <c r="K27" s="274"/>
      <c r="L27" s="271"/>
      <c r="M27" s="274"/>
      <c r="N27" s="271"/>
      <c r="O27" s="271"/>
      <c r="P27" s="271"/>
      <c r="Q27" s="274"/>
      <c r="R27" s="271"/>
      <c r="S27" s="271"/>
      <c r="T27" s="274"/>
      <c r="U27" s="271"/>
      <c r="V27" s="274"/>
      <c r="W27" s="271"/>
      <c r="X27" s="271"/>
      <c r="Y27" s="271"/>
      <c r="Z27" s="274"/>
      <c r="AA27" s="271"/>
      <c r="AB27" s="271"/>
      <c r="AC27" s="274"/>
      <c r="AD27" s="598"/>
      <c r="AE27" s="324">
        <v>1.82</v>
      </c>
      <c r="AF27" s="228"/>
      <c r="AG27" s="157"/>
      <c r="AH27" s="229"/>
      <c r="AI27" s="761" t="s">
        <v>165</v>
      </c>
    </row>
    <row r="28" spans="2:35" ht="15" customHeight="1" x14ac:dyDescent="0.25">
      <c r="B28" s="220">
        <v>13</v>
      </c>
      <c r="C28" s="162">
        <v>76</v>
      </c>
      <c r="D28" s="268" t="s">
        <v>414</v>
      </c>
      <c r="E28" s="222" t="s">
        <v>415</v>
      </c>
      <c r="F28" s="223" t="s">
        <v>417</v>
      </c>
      <c r="G28" s="274"/>
      <c r="H28" s="271"/>
      <c r="I28" s="274"/>
      <c r="J28" s="271"/>
      <c r="K28" s="274"/>
      <c r="L28" s="271"/>
      <c r="M28" s="274"/>
      <c r="N28" s="271"/>
      <c r="O28" s="271"/>
      <c r="P28" s="271"/>
      <c r="Q28" s="274"/>
      <c r="R28" s="271"/>
      <c r="S28" s="271"/>
      <c r="T28" s="274"/>
      <c r="U28" s="271"/>
      <c r="V28" s="274"/>
      <c r="W28" s="271"/>
      <c r="X28" s="271"/>
      <c r="Y28" s="271"/>
      <c r="Z28" s="274"/>
      <c r="AA28" s="271"/>
      <c r="AB28" s="271"/>
      <c r="AC28" s="274"/>
      <c r="AD28" s="598"/>
      <c r="AE28" s="324">
        <v>1.82</v>
      </c>
      <c r="AF28" s="228"/>
      <c r="AG28" s="157"/>
      <c r="AH28" s="229"/>
      <c r="AI28" s="761"/>
    </row>
    <row r="29" spans="2:35" ht="15" customHeight="1" x14ac:dyDescent="0.25">
      <c r="B29" s="220">
        <v>14</v>
      </c>
      <c r="C29" s="162">
        <v>36</v>
      </c>
      <c r="D29" s="268" t="s">
        <v>281</v>
      </c>
      <c r="E29" s="222" t="s">
        <v>282</v>
      </c>
      <c r="F29" s="223" t="s">
        <v>358</v>
      </c>
      <c r="G29" s="274"/>
      <c r="H29" s="271"/>
      <c r="I29" s="274"/>
      <c r="J29" s="271"/>
      <c r="K29" s="274"/>
      <c r="L29" s="271"/>
      <c r="M29" s="274"/>
      <c r="N29" s="271"/>
      <c r="O29" s="271"/>
      <c r="P29" s="271"/>
      <c r="Q29" s="274"/>
      <c r="R29" s="271"/>
      <c r="S29" s="271"/>
      <c r="T29" s="274"/>
      <c r="U29" s="271"/>
      <c r="V29" s="274"/>
      <c r="W29" s="271"/>
      <c r="X29" s="271"/>
      <c r="Y29" s="271"/>
      <c r="Z29" s="274"/>
      <c r="AA29" s="271"/>
      <c r="AB29" s="271"/>
      <c r="AC29" s="274"/>
      <c r="AD29" s="598"/>
      <c r="AE29" s="324">
        <v>2.06</v>
      </c>
      <c r="AF29" s="228"/>
      <c r="AG29" s="157"/>
      <c r="AH29" s="229"/>
      <c r="AI29" s="761"/>
    </row>
    <row r="30" spans="2:35" ht="15" customHeight="1" x14ac:dyDescent="0.25">
      <c r="B30" s="220">
        <v>15</v>
      </c>
      <c r="C30" s="162">
        <v>115</v>
      </c>
      <c r="D30" s="268" t="s">
        <v>450</v>
      </c>
      <c r="E30" s="222" t="s">
        <v>451</v>
      </c>
      <c r="F30" s="223" t="s">
        <v>448</v>
      </c>
      <c r="G30" s="274"/>
      <c r="H30" s="271"/>
      <c r="I30" s="274"/>
      <c r="J30" s="271"/>
      <c r="K30" s="274"/>
      <c r="L30" s="271"/>
      <c r="M30" s="274"/>
      <c r="N30" s="271"/>
      <c r="O30" s="271"/>
      <c r="P30" s="271"/>
      <c r="Q30" s="274"/>
      <c r="R30" s="271"/>
      <c r="S30" s="271"/>
      <c r="T30" s="274"/>
      <c r="U30" s="271"/>
      <c r="V30" s="274"/>
      <c r="W30" s="271"/>
      <c r="X30" s="271"/>
      <c r="Y30" s="271"/>
      <c r="Z30" s="274"/>
      <c r="AA30" s="271"/>
      <c r="AB30" s="271"/>
      <c r="AC30" s="274"/>
      <c r="AD30" s="598"/>
      <c r="AE30" s="324">
        <v>2</v>
      </c>
      <c r="AF30" s="228"/>
      <c r="AG30" s="157"/>
      <c r="AH30" s="229"/>
    </row>
    <row r="31" spans="2:35" ht="15" customHeight="1" x14ac:dyDescent="0.25">
      <c r="B31" s="220">
        <v>16</v>
      </c>
      <c r="C31" s="162">
        <v>37</v>
      </c>
      <c r="D31" s="268" t="s">
        <v>287</v>
      </c>
      <c r="E31" s="222" t="s">
        <v>288</v>
      </c>
      <c r="F31" s="223" t="s">
        <v>360</v>
      </c>
      <c r="G31" s="274"/>
      <c r="H31" s="271"/>
      <c r="I31" s="274"/>
      <c r="J31" s="271"/>
      <c r="K31" s="274"/>
      <c r="L31" s="271"/>
      <c r="M31" s="274"/>
      <c r="N31" s="271"/>
      <c r="O31" s="271"/>
      <c r="P31" s="271"/>
      <c r="Q31" s="274"/>
      <c r="R31" s="271"/>
      <c r="S31" s="271"/>
      <c r="T31" s="274"/>
      <c r="U31" s="271"/>
      <c r="V31" s="274"/>
      <c r="W31" s="271"/>
      <c r="X31" s="271"/>
      <c r="Y31" s="271"/>
      <c r="Z31" s="274"/>
      <c r="AA31" s="271"/>
      <c r="AB31" s="271"/>
      <c r="AC31" s="274"/>
      <c r="AD31" s="598"/>
      <c r="AE31" s="324">
        <v>0</v>
      </c>
      <c r="AF31" s="228"/>
      <c r="AG31" s="157"/>
      <c r="AH31" s="229"/>
      <c r="AI31" s="761"/>
    </row>
    <row r="32" spans="2:35" x14ac:dyDescent="0.25">
      <c r="B32" s="765"/>
      <c r="C32" s="583"/>
      <c r="D32" s="595"/>
      <c r="E32" s="577"/>
      <c r="F32" s="578"/>
      <c r="G32" s="596"/>
      <c r="H32" s="597"/>
      <c r="I32" s="596"/>
      <c r="J32" s="597"/>
      <c r="K32" s="596"/>
      <c r="L32" s="597"/>
      <c r="M32" s="596"/>
      <c r="N32" s="597"/>
      <c r="O32" s="597"/>
      <c r="P32" s="597"/>
      <c r="Q32" s="596"/>
      <c r="R32" s="597"/>
      <c r="S32" s="597"/>
      <c r="T32" s="596"/>
      <c r="U32" s="597"/>
      <c r="V32" s="596"/>
      <c r="W32" s="597"/>
      <c r="X32" s="597"/>
      <c r="Y32" s="597"/>
      <c r="Z32" s="596"/>
      <c r="AA32" s="597"/>
      <c r="AB32" s="597"/>
      <c r="AC32" s="596"/>
      <c r="AD32" s="597"/>
      <c r="AE32" s="581"/>
      <c r="AF32" s="228"/>
      <c r="AG32" s="157"/>
      <c r="AH32" s="229"/>
      <c r="AI32" s="761"/>
    </row>
    <row r="33" spans="2:36" x14ac:dyDescent="0.25">
      <c r="B33" s="557" t="s">
        <v>325</v>
      </c>
      <c r="C33" s="583"/>
      <c r="D33" s="595"/>
      <c r="E33" s="577"/>
      <c r="F33" s="578"/>
      <c r="G33" s="596"/>
      <c r="H33" s="597"/>
      <c r="I33" s="596"/>
      <c r="J33" s="597"/>
      <c r="K33" s="596"/>
      <c r="L33" s="597"/>
      <c r="M33" s="596"/>
      <c r="N33" s="597"/>
      <c r="O33" s="597"/>
      <c r="P33" s="597"/>
      <c r="Q33" s="596"/>
      <c r="R33" s="597"/>
      <c r="S33" s="597"/>
      <c r="T33" s="596"/>
      <c r="U33" s="597"/>
      <c r="V33" s="596"/>
      <c r="W33" s="597"/>
      <c r="X33" s="597"/>
      <c r="Y33" s="597"/>
      <c r="Z33" s="596"/>
      <c r="AA33" s="597"/>
      <c r="AB33" s="597"/>
      <c r="AC33" s="596"/>
      <c r="AD33" s="597"/>
      <c r="AE33" s="581"/>
      <c r="AF33" s="228"/>
      <c r="AG33" s="157"/>
      <c r="AH33" s="229"/>
      <c r="AI33" s="761"/>
    </row>
    <row r="34" spans="2:36" x14ac:dyDescent="0.25">
      <c r="B34" s="557" t="s">
        <v>332</v>
      </c>
      <c r="C34" s="765"/>
      <c r="D34" s="595"/>
      <c r="E34" s="577"/>
      <c r="F34" s="578"/>
      <c r="G34" s="596"/>
      <c r="H34" s="597"/>
      <c r="I34" s="596"/>
      <c r="J34" s="597"/>
      <c r="K34" s="596"/>
      <c r="L34" s="597"/>
      <c r="M34" s="596"/>
      <c r="N34" s="597"/>
      <c r="O34" s="597"/>
      <c r="P34" s="597"/>
      <c r="Q34" s="596"/>
      <c r="R34" s="597"/>
      <c r="S34" s="597"/>
      <c r="T34" s="596"/>
      <c r="U34" s="597"/>
      <c r="V34" s="596"/>
      <c r="W34" s="597"/>
      <c r="X34" s="597"/>
      <c r="Y34" s="597"/>
      <c r="Z34" s="596"/>
      <c r="AA34" s="597"/>
      <c r="AB34" s="597"/>
      <c r="AC34" s="596"/>
      <c r="AD34" s="597"/>
      <c r="AE34" s="581"/>
      <c r="AF34" s="228"/>
      <c r="AG34" s="157"/>
      <c r="AH34" s="229"/>
      <c r="AI34" s="761" t="s">
        <v>165</v>
      </c>
      <c r="AJ34" s="41" t="s">
        <v>244</v>
      </c>
    </row>
    <row r="35" spans="2:36" x14ac:dyDescent="0.25">
      <c r="B35" s="557" t="s">
        <v>333</v>
      </c>
      <c r="C35" s="765"/>
      <c r="D35" s="595"/>
      <c r="E35" s="577"/>
      <c r="F35" s="578"/>
      <c r="G35" s="596"/>
      <c r="H35" s="597"/>
      <c r="I35" s="596"/>
      <c r="J35" s="597"/>
      <c r="K35" s="596"/>
      <c r="L35" s="597"/>
      <c r="M35" s="596"/>
      <c r="N35" s="597"/>
      <c r="O35" s="597"/>
      <c r="P35" s="597"/>
      <c r="Q35" s="596"/>
      <c r="R35" s="597"/>
      <c r="S35" s="597"/>
      <c r="T35" s="596"/>
      <c r="U35" s="597"/>
      <c r="V35" s="596"/>
      <c r="W35" s="597"/>
      <c r="X35" s="597"/>
      <c r="Y35" s="597"/>
      <c r="Z35" s="596"/>
      <c r="AA35" s="597"/>
      <c r="AB35" s="597"/>
      <c r="AC35" s="596"/>
      <c r="AD35" s="597"/>
      <c r="AE35" s="581"/>
      <c r="AF35" s="228"/>
      <c r="AG35" s="157"/>
      <c r="AH35" s="229"/>
      <c r="AI35" s="761"/>
    </row>
    <row r="36" spans="2:36" x14ac:dyDescent="0.25">
      <c r="B36" s="765"/>
      <c r="C36" s="583"/>
      <c r="D36" s="595"/>
      <c r="E36" s="577"/>
      <c r="F36" s="578"/>
      <c r="G36" s="596"/>
      <c r="H36" s="597"/>
      <c r="I36" s="596"/>
      <c r="J36" s="597"/>
      <c r="K36" s="596"/>
      <c r="L36" s="597"/>
      <c r="M36" s="596"/>
      <c r="N36" s="597"/>
      <c r="O36" s="597"/>
      <c r="P36" s="597"/>
      <c r="Q36" s="596"/>
      <c r="R36" s="597"/>
      <c r="S36" s="597"/>
      <c r="T36" s="596"/>
      <c r="U36" s="597"/>
      <c r="V36" s="596"/>
      <c r="W36" s="597"/>
      <c r="X36" s="597"/>
      <c r="Y36" s="597"/>
      <c r="Z36" s="596"/>
      <c r="AA36" s="597"/>
      <c r="AB36" s="597"/>
      <c r="AC36" s="596"/>
      <c r="AD36" s="597"/>
      <c r="AE36" s="581"/>
      <c r="AF36" s="228"/>
      <c r="AG36" s="157"/>
      <c r="AH36" s="229"/>
      <c r="AI36" s="761" t="s">
        <v>165</v>
      </c>
    </row>
    <row r="37" spans="2:36" x14ac:dyDescent="0.25">
      <c r="B37" s="568"/>
      <c r="C37" s="569"/>
      <c r="D37" s="587"/>
      <c r="E37" s="327"/>
      <c r="F37" s="588"/>
      <c r="G37" s="589"/>
      <c r="H37" s="590"/>
      <c r="I37" s="591"/>
      <c r="J37" s="592"/>
      <c r="K37" s="593"/>
      <c r="L37" s="594"/>
      <c r="M37" s="589"/>
      <c r="N37" s="590"/>
      <c r="O37" s="594"/>
      <c r="P37" s="592"/>
      <c r="Q37" s="593"/>
      <c r="R37" s="594"/>
      <c r="S37" s="592"/>
      <c r="T37" s="593"/>
      <c r="U37" s="594"/>
      <c r="V37" s="589"/>
      <c r="W37" s="590"/>
      <c r="X37" s="594"/>
      <c r="Y37" s="592"/>
      <c r="Z37" s="593"/>
      <c r="AA37" s="594"/>
      <c r="AB37" s="592"/>
      <c r="AC37" s="593"/>
      <c r="AD37" s="594"/>
      <c r="AE37" s="573"/>
      <c r="AF37" s="228"/>
      <c r="AG37" s="157"/>
      <c r="AH37" s="229"/>
      <c r="AI37" s="761"/>
    </row>
    <row r="38" spans="2:36" x14ac:dyDescent="0.25">
      <c r="B38" s="220"/>
      <c r="C38" s="220"/>
      <c r="D38" s="268"/>
      <c r="E38" s="222"/>
      <c r="F38" s="269"/>
      <c r="G38" s="270"/>
      <c r="H38" s="271"/>
      <c r="I38" s="272"/>
      <c r="J38" s="273"/>
      <c r="K38" s="274"/>
      <c r="L38" s="275"/>
      <c r="M38" s="270"/>
      <c r="N38" s="271"/>
      <c r="O38" s="275"/>
      <c r="P38" s="273"/>
      <c r="Q38" s="274"/>
      <c r="R38" s="275"/>
      <c r="S38" s="273"/>
      <c r="T38" s="274"/>
      <c r="U38" s="275"/>
      <c r="V38" s="270"/>
      <c r="W38" s="271"/>
      <c r="X38" s="275"/>
      <c r="Y38" s="273"/>
      <c r="Z38" s="274"/>
      <c r="AA38" s="275"/>
      <c r="AB38" s="273"/>
      <c r="AC38" s="274"/>
      <c r="AD38" s="275"/>
      <c r="AE38" s="226"/>
      <c r="AF38" s="228"/>
      <c r="AG38" s="157"/>
      <c r="AH38" s="229"/>
      <c r="AI38" s="761"/>
    </row>
    <row r="39" spans="2:36" x14ac:dyDescent="0.25">
      <c r="B39" s="220"/>
      <c r="C39" s="220"/>
      <c r="D39" s="268"/>
      <c r="E39" s="222"/>
      <c r="F39" s="269"/>
      <c r="G39" s="270"/>
      <c r="H39" s="271"/>
      <c r="I39" s="272"/>
      <c r="J39" s="273"/>
      <c r="K39" s="274"/>
      <c r="L39" s="275"/>
      <c r="M39" s="270"/>
      <c r="N39" s="271"/>
      <c r="O39" s="275"/>
      <c r="P39" s="273"/>
      <c r="Q39" s="274"/>
      <c r="R39" s="275"/>
      <c r="S39" s="273"/>
      <c r="T39" s="274"/>
      <c r="U39" s="275"/>
      <c r="V39" s="270"/>
      <c r="W39" s="271"/>
      <c r="X39" s="275"/>
      <c r="Y39" s="273"/>
      <c r="Z39" s="274"/>
      <c r="AA39" s="275"/>
      <c r="AB39" s="273"/>
      <c r="AC39" s="274"/>
      <c r="AD39" s="275"/>
      <c r="AE39" s="226"/>
      <c r="AF39" s="228"/>
      <c r="AG39" s="157"/>
      <c r="AH39" s="229"/>
      <c r="AI39" s="761"/>
    </row>
    <row r="40" spans="2:36" x14ac:dyDescent="0.25">
      <c r="B40" s="220"/>
      <c r="C40" s="220"/>
      <c r="D40" s="268"/>
      <c r="E40" s="222"/>
      <c r="F40" s="269"/>
      <c r="G40" s="270"/>
      <c r="H40" s="271"/>
      <c r="I40" s="272"/>
      <c r="J40" s="273"/>
      <c r="K40" s="274"/>
      <c r="L40" s="275"/>
      <c r="M40" s="270"/>
      <c r="N40" s="271"/>
      <c r="O40" s="275"/>
      <c r="P40" s="273"/>
      <c r="Q40" s="274"/>
      <c r="R40" s="275"/>
      <c r="S40" s="273"/>
      <c r="T40" s="274"/>
      <c r="U40" s="275"/>
      <c r="V40" s="270"/>
      <c r="W40" s="271"/>
      <c r="X40" s="275"/>
      <c r="Y40" s="273"/>
      <c r="Z40" s="274"/>
      <c r="AA40" s="275"/>
      <c r="AB40" s="273"/>
      <c r="AC40" s="274"/>
      <c r="AD40" s="275"/>
      <c r="AE40" s="226"/>
      <c r="AF40" s="228"/>
      <c r="AG40" s="157"/>
      <c r="AH40" s="229"/>
      <c r="AI40" s="761"/>
    </row>
    <row r="41" spans="2:36" x14ac:dyDescent="0.25">
      <c r="B41" s="220"/>
      <c r="C41" s="230"/>
      <c r="D41" s="268"/>
      <c r="E41" s="222"/>
      <c r="F41" s="269"/>
      <c r="G41" s="270"/>
      <c r="H41" s="271"/>
      <c r="I41" s="272"/>
      <c r="J41" s="273"/>
      <c r="K41" s="274"/>
      <c r="L41" s="275"/>
      <c r="M41" s="270"/>
      <c r="N41" s="271"/>
      <c r="O41" s="275"/>
      <c r="P41" s="273"/>
      <c r="Q41" s="274"/>
      <c r="R41" s="275"/>
      <c r="S41" s="273"/>
      <c r="T41" s="274"/>
      <c r="U41" s="275"/>
      <c r="V41" s="270"/>
      <c r="W41" s="271"/>
      <c r="X41" s="275"/>
      <c r="Y41" s="273"/>
      <c r="Z41" s="274"/>
      <c r="AA41" s="275"/>
      <c r="AB41" s="273"/>
      <c r="AC41" s="274"/>
      <c r="AD41" s="275"/>
      <c r="AE41" s="226"/>
      <c r="AF41" s="228"/>
      <c r="AG41" s="157"/>
      <c r="AH41" s="229"/>
      <c r="AI41" s="761"/>
    </row>
    <row r="42" spans="2:36" x14ac:dyDescent="0.25">
      <c r="B42" s="220"/>
      <c r="C42" s="230"/>
      <c r="D42" s="268"/>
      <c r="E42" s="222"/>
      <c r="F42" s="269"/>
      <c r="G42" s="270"/>
      <c r="H42" s="271"/>
      <c r="I42" s="272"/>
      <c r="J42" s="273"/>
      <c r="K42" s="274"/>
      <c r="L42" s="275"/>
      <c r="M42" s="270"/>
      <c r="N42" s="271"/>
      <c r="O42" s="275"/>
      <c r="P42" s="273"/>
      <c r="Q42" s="274"/>
      <c r="R42" s="275"/>
      <c r="S42" s="273"/>
      <c r="T42" s="274"/>
      <c r="U42" s="275"/>
      <c r="V42" s="270"/>
      <c r="W42" s="271"/>
      <c r="X42" s="275"/>
      <c r="Y42" s="273"/>
      <c r="Z42" s="274"/>
      <c r="AA42" s="275"/>
      <c r="AB42" s="273"/>
      <c r="AC42" s="274"/>
      <c r="AD42" s="275"/>
      <c r="AE42" s="226"/>
      <c r="AF42" s="228"/>
      <c r="AG42" s="157"/>
      <c r="AH42" s="229"/>
      <c r="AI42" s="761"/>
    </row>
    <row r="43" spans="2:36" x14ac:dyDescent="0.25">
      <c r="B43" s="220"/>
      <c r="C43" s="220"/>
      <c r="D43" s="268"/>
      <c r="E43" s="222"/>
      <c r="F43" s="269"/>
      <c r="G43" s="270"/>
      <c r="H43" s="271"/>
      <c r="I43" s="272"/>
      <c r="J43" s="273"/>
      <c r="K43" s="274"/>
      <c r="L43" s="275"/>
      <c r="M43" s="270"/>
      <c r="N43" s="271"/>
      <c r="O43" s="275"/>
      <c r="P43" s="273"/>
      <c r="Q43" s="274"/>
      <c r="R43" s="275"/>
      <c r="S43" s="273"/>
      <c r="T43" s="274"/>
      <c r="U43" s="275"/>
      <c r="V43" s="270"/>
      <c r="W43" s="271"/>
      <c r="X43" s="275"/>
      <c r="Y43" s="273"/>
      <c r="Z43" s="274"/>
      <c r="AA43" s="275"/>
      <c r="AB43" s="273"/>
      <c r="AC43" s="274"/>
      <c r="AD43" s="275"/>
      <c r="AE43" s="226"/>
      <c r="AF43" s="228"/>
      <c r="AG43" s="157"/>
      <c r="AH43" s="229"/>
      <c r="AI43" s="761"/>
    </row>
    <row r="44" spans="2:36" x14ac:dyDescent="0.25">
      <c r="B44" s="220"/>
      <c r="C44" s="220"/>
      <c r="D44" s="268"/>
      <c r="E44" s="222"/>
      <c r="F44" s="269"/>
      <c r="G44" s="270"/>
      <c r="H44" s="271"/>
      <c r="I44" s="272"/>
      <c r="J44" s="273"/>
      <c r="K44" s="274"/>
      <c r="L44" s="275"/>
      <c r="M44" s="270"/>
      <c r="N44" s="271"/>
      <c r="O44" s="275"/>
      <c r="P44" s="273"/>
      <c r="Q44" s="274"/>
      <c r="R44" s="275"/>
      <c r="S44" s="273"/>
      <c r="T44" s="274"/>
      <c r="U44" s="275"/>
      <c r="V44" s="270"/>
      <c r="W44" s="271"/>
      <c r="X44" s="275"/>
      <c r="Y44" s="273"/>
      <c r="Z44" s="274"/>
      <c r="AA44" s="275"/>
      <c r="AB44" s="273"/>
      <c r="AC44" s="274"/>
      <c r="AD44" s="275"/>
      <c r="AE44" s="226"/>
      <c r="AF44" s="228"/>
      <c r="AG44" s="157"/>
      <c r="AH44" s="229"/>
      <c r="AI44" s="761"/>
    </row>
    <row r="45" spans="2:36" x14ac:dyDescent="0.25">
      <c r="B45" s="220"/>
      <c r="C45" s="230"/>
      <c r="D45" s="268"/>
      <c r="E45" s="222"/>
      <c r="F45" s="269"/>
      <c r="G45" s="270"/>
      <c r="H45" s="271"/>
      <c r="I45" s="272"/>
      <c r="J45" s="273"/>
      <c r="K45" s="274"/>
      <c r="L45" s="275"/>
      <c r="M45" s="270"/>
      <c r="N45" s="271"/>
      <c r="O45" s="275"/>
      <c r="P45" s="273"/>
      <c r="Q45" s="274"/>
      <c r="R45" s="275"/>
      <c r="S45" s="273"/>
      <c r="T45" s="274"/>
      <c r="U45" s="275"/>
      <c r="V45" s="270"/>
      <c r="W45" s="271"/>
      <c r="X45" s="275"/>
      <c r="Y45" s="273"/>
      <c r="Z45" s="274"/>
      <c r="AA45" s="275"/>
      <c r="AB45" s="273"/>
      <c r="AC45" s="274"/>
      <c r="AD45" s="275"/>
      <c r="AE45" s="226"/>
      <c r="AF45" s="228"/>
      <c r="AG45" s="157"/>
      <c r="AH45" s="229"/>
      <c r="AI45" s="761"/>
    </row>
    <row r="46" spans="2:36" x14ac:dyDescent="0.25">
      <c r="B46" s="220"/>
      <c r="C46" s="220"/>
      <c r="D46" s="268"/>
      <c r="E46" s="222"/>
      <c r="F46" s="269"/>
      <c r="G46" s="270"/>
      <c r="H46" s="271"/>
      <c r="I46" s="272"/>
      <c r="J46" s="273"/>
      <c r="K46" s="274"/>
      <c r="L46" s="275"/>
      <c r="M46" s="270"/>
      <c r="N46" s="271"/>
      <c r="O46" s="275"/>
      <c r="P46" s="273"/>
      <c r="Q46" s="274"/>
      <c r="R46" s="275"/>
      <c r="S46" s="273"/>
      <c r="T46" s="274"/>
      <c r="U46" s="275"/>
      <c r="V46" s="270"/>
      <c r="W46" s="271"/>
      <c r="X46" s="275"/>
      <c r="Y46" s="273"/>
      <c r="Z46" s="274"/>
      <c r="AA46" s="275"/>
      <c r="AB46" s="273"/>
      <c r="AC46" s="274"/>
      <c r="AD46" s="275"/>
      <c r="AE46" s="226"/>
      <c r="AF46" s="228"/>
      <c r="AG46" s="157"/>
      <c r="AH46" s="229"/>
    </row>
    <row r="47" spans="2:36" x14ac:dyDescent="0.25">
      <c r="B47" s="220"/>
      <c r="C47" s="220"/>
      <c r="D47" s="268"/>
      <c r="E47" s="222"/>
      <c r="F47" s="269"/>
      <c r="G47" s="270"/>
      <c r="H47" s="271"/>
      <c r="I47" s="272"/>
      <c r="J47" s="273"/>
      <c r="K47" s="274"/>
      <c r="L47" s="275"/>
      <c r="M47" s="270"/>
      <c r="N47" s="271"/>
      <c r="O47" s="275"/>
      <c r="P47" s="273"/>
      <c r="Q47" s="274"/>
      <c r="R47" s="275"/>
      <c r="S47" s="273"/>
      <c r="T47" s="274"/>
      <c r="U47" s="275"/>
      <c r="V47" s="270"/>
      <c r="W47" s="271"/>
      <c r="X47" s="275"/>
      <c r="Y47" s="273"/>
      <c r="Z47" s="274"/>
      <c r="AA47" s="275"/>
      <c r="AB47" s="273"/>
      <c r="AC47" s="274"/>
      <c r="AD47" s="275"/>
      <c r="AE47" s="226"/>
      <c r="AF47" s="228"/>
      <c r="AG47" s="157"/>
      <c r="AH47" s="229"/>
    </row>
    <row r="48" spans="2:36" x14ac:dyDescent="0.25">
      <c r="B48" s="220"/>
      <c r="C48" s="220"/>
      <c r="D48" s="268"/>
      <c r="E48" s="222"/>
      <c r="F48" s="269"/>
      <c r="G48" s="270"/>
      <c r="H48" s="271"/>
      <c r="I48" s="272"/>
      <c r="J48" s="273"/>
      <c r="K48" s="274"/>
      <c r="L48" s="275"/>
      <c r="M48" s="270"/>
      <c r="N48" s="271"/>
      <c r="O48" s="275"/>
      <c r="P48" s="273"/>
      <c r="Q48" s="274"/>
      <c r="R48" s="275"/>
      <c r="S48" s="273"/>
      <c r="T48" s="274"/>
      <c r="U48" s="275"/>
      <c r="V48" s="270"/>
      <c r="W48" s="271"/>
      <c r="X48" s="275"/>
      <c r="Y48" s="273"/>
      <c r="Z48" s="274"/>
      <c r="AA48" s="275"/>
      <c r="AB48" s="273"/>
      <c r="AC48" s="274"/>
      <c r="AD48" s="275"/>
      <c r="AE48" s="226"/>
      <c r="AF48" s="228"/>
      <c r="AG48" s="157"/>
      <c r="AH48" s="229"/>
      <c r="AI48" s="761"/>
    </row>
  </sheetData>
  <sortState ref="A16:BB31">
    <sortCondition ref="A16:A31"/>
  </sortState>
  <mergeCells count="7">
    <mergeCell ref="B7:AE7"/>
    <mergeCell ref="B1:AE1"/>
    <mergeCell ref="B2:AE2"/>
    <mergeCell ref="B3:AE3"/>
    <mergeCell ref="B4:AE4"/>
    <mergeCell ref="B5:AE5"/>
    <mergeCell ref="B6:AE6"/>
  </mergeCells>
  <pageMargins left="0.21" right="0.22" top="0.24" bottom="0.27" header="0.18" footer="0.17"/>
  <pageSetup paperSize="9" orientation="landscape" verticalDpi="4294967295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4"/>
  <sheetViews>
    <sheetView view="pageBreakPreview" zoomScale="60" workbookViewId="0">
      <selection activeCell="C16" sqref="C16:C27"/>
    </sheetView>
  </sheetViews>
  <sheetFormatPr defaultColWidth="9.109375" defaultRowHeight="13.2" outlineLevelRow="1" outlineLevelCol="1" x14ac:dyDescent="0.25"/>
  <cols>
    <col min="1" max="1" width="8.5546875" style="41" customWidth="1" outlineLevel="1"/>
    <col min="2" max="2" width="5.77734375" style="41" customWidth="1"/>
    <col min="3" max="3" width="5" style="564" customWidth="1"/>
    <col min="4" max="4" width="18.6640625" style="41" customWidth="1"/>
    <col min="5" max="5" width="10.109375" style="41" customWidth="1" outlineLevel="1"/>
    <col min="6" max="6" width="16.88671875" style="41" customWidth="1" outlineLevel="1"/>
    <col min="7" max="9" width="3.33203125" style="564" customWidth="1" outlineLevel="1"/>
    <col min="10" max="10" width="3.5546875" style="564" customWidth="1" outlineLevel="1"/>
    <col min="11" max="12" width="3.33203125" style="41" customWidth="1" outlineLevel="1"/>
    <col min="13" max="20" width="3.33203125" style="564" customWidth="1" outlineLevel="1"/>
    <col min="21" max="21" width="3.33203125" style="41" customWidth="1" outlineLevel="1"/>
    <col min="22" max="29" width="3.33203125" style="564" customWidth="1" outlineLevel="1"/>
    <col min="30" max="30" width="3.33203125" style="41" customWidth="1" outlineLevel="1"/>
    <col min="31" max="31" width="8.88671875" style="41" bestFit="1" customWidth="1"/>
    <col min="32" max="32" width="5.109375" style="149" bestFit="1" customWidth="1"/>
    <col min="33" max="33" width="5.6640625" style="149" customWidth="1"/>
    <col min="34" max="34" width="9.33203125" style="41" bestFit="1" customWidth="1" outlineLevel="1"/>
    <col min="35" max="16384" width="9.109375" style="41"/>
  </cols>
  <sheetData>
    <row r="1" spans="1:35" ht="13.2" customHeight="1" x14ac:dyDescent="0.25">
      <c r="B1" s="805" t="str">
        <f>Расп!A21</f>
        <v>МИНИСТЕРСТВО СПОРТА РОССИЙСКОЙ ФЕДЕРАЦИИ</v>
      </c>
      <c r="C1" s="805"/>
      <c r="D1" s="805"/>
      <c r="E1" s="805"/>
      <c r="F1" s="805"/>
      <c r="G1" s="805"/>
      <c r="H1" s="805"/>
      <c r="I1" s="805"/>
      <c r="J1" s="805"/>
      <c r="K1" s="805"/>
      <c r="L1" s="805"/>
      <c r="M1" s="805"/>
      <c r="N1" s="805"/>
      <c r="O1" s="805"/>
      <c r="P1" s="805"/>
      <c r="Q1" s="805"/>
      <c r="R1" s="805"/>
      <c r="S1" s="805"/>
      <c r="T1" s="805"/>
      <c r="U1" s="805"/>
      <c r="V1" s="805"/>
      <c r="W1" s="805"/>
      <c r="X1" s="805"/>
      <c r="Y1" s="805"/>
      <c r="Z1" s="805"/>
      <c r="AA1" s="805"/>
      <c r="AB1" s="805"/>
      <c r="AC1" s="805"/>
      <c r="AD1" s="805"/>
      <c r="AE1" s="805"/>
      <c r="AH1" s="145"/>
    </row>
    <row r="2" spans="1:35" ht="13.2" customHeight="1" x14ac:dyDescent="0.25">
      <c r="B2" s="805" t="str">
        <f>Расп!A22</f>
        <v>ВСЕРОССИЙСКАЯ ФЕДЕРАЦИЯ ЛЕГКОЙ АТЛЕТИКИ</v>
      </c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O2" s="805"/>
      <c r="P2" s="805"/>
      <c r="Q2" s="805"/>
      <c r="R2" s="805"/>
      <c r="S2" s="805"/>
      <c r="T2" s="805"/>
      <c r="U2" s="805"/>
      <c r="V2" s="805"/>
      <c r="W2" s="805"/>
      <c r="X2" s="805"/>
      <c r="Y2" s="805"/>
      <c r="Z2" s="805"/>
      <c r="AA2" s="805"/>
      <c r="AB2" s="805"/>
      <c r="AC2" s="805"/>
      <c r="AD2" s="805"/>
      <c r="AE2" s="805"/>
      <c r="AH2" s="145"/>
    </row>
    <row r="3" spans="1:35" ht="13.2" customHeight="1" x14ac:dyDescent="0.25">
      <c r="B3" s="805" t="str">
        <f>Расп!A25</f>
        <v>Командный чемпионат России</v>
      </c>
      <c r="C3" s="805"/>
      <c r="D3" s="805"/>
      <c r="E3" s="805"/>
      <c r="F3" s="805"/>
      <c r="G3" s="805"/>
      <c r="H3" s="805"/>
      <c r="I3" s="805"/>
      <c r="J3" s="805"/>
      <c r="K3" s="805"/>
      <c r="L3" s="805"/>
      <c r="M3" s="805"/>
      <c r="N3" s="805"/>
      <c r="O3" s="805"/>
      <c r="P3" s="805"/>
      <c r="Q3" s="805"/>
      <c r="R3" s="805"/>
      <c r="S3" s="805"/>
      <c r="T3" s="805"/>
      <c r="U3" s="805"/>
      <c r="V3" s="805"/>
      <c r="W3" s="805"/>
      <c r="X3" s="805"/>
      <c r="Y3" s="805"/>
      <c r="Z3" s="805"/>
      <c r="AA3" s="805"/>
      <c r="AB3" s="805"/>
      <c r="AC3" s="805"/>
      <c r="AD3" s="805"/>
      <c r="AE3" s="805"/>
      <c r="AH3" s="145"/>
    </row>
    <row r="4" spans="1:35" ht="13.2" customHeight="1" x14ac:dyDescent="0.25">
      <c r="B4" s="805" t="str">
        <f>Расп!A27</f>
        <v>по многоборью</v>
      </c>
      <c r="C4" s="805"/>
      <c r="D4" s="805"/>
      <c r="E4" s="805"/>
      <c r="F4" s="805"/>
      <c r="G4" s="805"/>
      <c r="H4" s="805"/>
      <c r="I4" s="805"/>
      <c r="J4" s="805"/>
      <c r="K4" s="805"/>
      <c r="L4" s="805"/>
      <c r="M4" s="805"/>
      <c r="N4" s="805"/>
      <c r="O4" s="805"/>
      <c r="P4" s="805"/>
      <c r="Q4" s="805"/>
      <c r="R4" s="805"/>
      <c r="S4" s="805"/>
      <c r="T4" s="805"/>
      <c r="U4" s="805"/>
      <c r="V4" s="805"/>
      <c r="W4" s="805"/>
      <c r="X4" s="805"/>
      <c r="Y4" s="805"/>
      <c r="Z4" s="805"/>
      <c r="AA4" s="805"/>
      <c r="AB4" s="805"/>
      <c r="AC4" s="805"/>
      <c r="AD4" s="805"/>
      <c r="AE4" s="805"/>
      <c r="AH4" s="145"/>
    </row>
    <row r="5" spans="1:35" ht="13.2" customHeight="1" x14ac:dyDescent="0.25">
      <c r="B5" s="805" t="str">
        <f>Расп!A28</f>
        <v>Мужчины</v>
      </c>
      <c r="C5" s="805"/>
      <c r="D5" s="805"/>
      <c r="E5" s="805"/>
      <c r="F5" s="805"/>
      <c r="G5" s="805"/>
      <c r="H5" s="805"/>
      <c r="I5" s="805"/>
      <c r="J5" s="805"/>
      <c r="K5" s="805"/>
      <c r="L5" s="805"/>
      <c r="M5" s="805"/>
      <c r="N5" s="805"/>
      <c r="O5" s="805"/>
      <c r="P5" s="805"/>
      <c r="Q5" s="805"/>
      <c r="R5" s="805"/>
      <c r="S5" s="805"/>
      <c r="T5" s="805"/>
      <c r="U5" s="805"/>
      <c r="V5" s="805"/>
      <c r="W5" s="805"/>
      <c r="X5" s="805"/>
      <c r="Y5" s="805"/>
      <c r="Z5" s="805"/>
      <c r="AA5" s="805"/>
      <c r="AB5" s="805"/>
      <c r="AC5" s="805"/>
      <c r="AD5" s="805"/>
      <c r="AE5" s="805"/>
      <c r="AH5" s="145"/>
    </row>
    <row r="6" spans="1:35" ht="13.2" customHeight="1" x14ac:dyDescent="0.25">
      <c r="B6" s="806" t="s">
        <v>12</v>
      </c>
      <c r="C6" s="806"/>
      <c r="D6" s="806"/>
      <c r="E6" s="806"/>
      <c r="F6" s="806"/>
      <c r="G6" s="806"/>
      <c r="H6" s="806"/>
      <c r="I6" s="806"/>
      <c r="J6" s="806"/>
      <c r="K6" s="806"/>
      <c r="L6" s="806"/>
      <c r="M6" s="806"/>
      <c r="N6" s="806"/>
      <c r="O6" s="806"/>
      <c r="P6" s="806"/>
      <c r="Q6" s="806"/>
      <c r="R6" s="806"/>
      <c r="S6" s="806"/>
      <c r="T6" s="806"/>
      <c r="U6" s="806"/>
      <c r="V6" s="806"/>
      <c r="W6" s="806"/>
      <c r="X6" s="806"/>
      <c r="Y6" s="806"/>
      <c r="Z6" s="806"/>
      <c r="AA6" s="806"/>
      <c r="AB6" s="806"/>
      <c r="AC6" s="806"/>
      <c r="AD6" s="806"/>
      <c r="AE6" s="806"/>
      <c r="AH6" s="145"/>
    </row>
    <row r="7" spans="1:35" ht="13.2" customHeight="1" x14ac:dyDescent="0.25">
      <c r="B7" s="801" t="str">
        <f>Расп!A5</f>
        <v>прыжок в высоту</v>
      </c>
      <c r="C7" s="801"/>
      <c r="D7" s="801"/>
      <c r="E7" s="801"/>
      <c r="F7" s="801"/>
      <c r="G7" s="801"/>
      <c r="H7" s="801"/>
      <c r="I7" s="801"/>
      <c r="J7" s="801"/>
      <c r="K7" s="801"/>
      <c r="L7" s="801"/>
      <c r="M7" s="801"/>
      <c r="N7" s="801"/>
      <c r="O7" s="801"/>
      <c r="P7" s="801"/>
      <c r="Q7" s="801"/>
      <c r="R7" s="801"/>
      <c r="S7" s="801"/>
      <c r="T7" s="801"/>
      <c r="U7" s="801"/>
      <c r="V7" s="801"/>
      <c r="W7" s="801"/>
      <c r="X7" s="801"/>
      <c r="Y7" s="801"/>
      <c r="Z7" s="801"/>
      <c r="AA7" s="801"/>
      <c r="AB7" s="801"/>
      <c r="AC7" s="801"/>
      <c r="AD7" s="801"/>
      <c r="AE7" s="801"/>
      <c r="AH7" s="145"/>
    </row>
    <row r="8" spans="1:35" ht="13.2" hidden="1" customHeight="1" x14ac:dyDescent="0.3">
      <c r="C8" s="151"/>
      <c r="D8" s="564"/>
      <c r="G8" s="251"/>
      <c r="J8" s="252"/>
      <c r="K8" s="253"/>
      <c r="L8" s="254"/>
      <c r="N8" s="153"/>
      <c r="AH8" s="145"/>
    </row>
    <row r="9" spans="1:35" ht="13.2" customHeight="1" x14ac:dyDescent="0.25">
      <c r="B9" s="203" t="str">
        <f>Расп!A1</f>
        <v>04.09.2019 г.</v>
      </c>
      <c r="C9" s="147"/>
      <c r="D9" s="38"/>
      <c r="F9" s="563" t="s">
        <v>335</v>
      </c>
      <c r="G9" s="251"/>
      <c r="J9" s="255">
        <f>Расп!C3</f>
        <v>0</v>
      </c>
      <c r="L9" s="147"/>
      <c r="M9" s="565"/>
      <c r="N9" s="565"/>
      <c r="O9" s="565"/>
      <c r="P9" s="565"/>
      <c r="Q9" s="565"/>
      <c r="R9" s="565"/>
      <c r="S9" s="565"/>
      <c r="T9" s="565"/>
      <c r="U9" s="147"/>
      <c r="V9" s="565"/>
      <c r="W9" s="565"/>
      <c r="X9" s="565"/>
      <c r="Y9" s="565"/>
      <c r="Z9" s="565"/>
      <c r="AA9" s="565"/>
      <c r="AB9" s="565"/>
      <c r="AC9" s="565"/>
      <c r="AD9" s="276" t="str">
        <f>Расп!B1</f>
        <v>Начало:</v>
      </c>
      <c r="AE9" s="207">
        <v>0.66666666666666663</v>
      </c>
      <c r="AH9" s="152" t="s">
        <v>22</v>
      </c>
    </row>
    <row r="10" spans="1:35" ht="13.2" customHeight="1" outlineLevel="1" thickBot="1" x14ac:dyDescent="0.35">
      <c r="B10" s="41" t="str">
        <f>Расп!A26</f>
        <v>г.Сочи, Адлерский район, стадион "Юность"</v>
      </c>
      <c r="C10" s="153"/>
      <c r="D10" s="564"/>
      <c r="E10" s="564"/>
      <c r="F10" s="151"/>
      <c r="H10" s="41"/>
      <c r="AD10" s="206" t="str">
        <f>Расп!C1</f>
        <v>Окончание:</v>
      </c>
      <c r="AE10" s="257"/>
      <c r="AH10" s="152" t="s">
        <v>23</v>
      </c>
    </row>
    <row r="11" spans="1:35" ht="13.2" hidden="1" customHeight="1" x14ac:dyDescent="0.3">
      <c r="C11" s="153"/>
      <c r="D11" s="564"/>
      <c r="E11" s="564"/>
      <c r="G11" s="151"/>
      <c r="H11" s="41"/>
      <c r="I11" s="41"/>
      <c r="AE11" s="214"/>
      <c r="AH11" s="152" t="s">
        <v>24</v>
      </c>
    </row>
    <row r="12" spans="1:35" ht="13.2" hidden="1" customHeight="1" outlineLevel="1" x14ac:dyDescent="0.3">
      <c r="C12" s="153" t="s">
        <v>11</v>
      </c>
      <c r="D12" s="564"/>
      <c r="E12" s="564"/>
      <c r="G12" s="151" t="str">
        <f>Расп!A5</f>
        <v>прыжок в высоту</v>
      </c>
      <c r="H12" s="41"/>
      <c r="I12" s="41"/>
      <c r="AH12" s="145"/>
    </row>
    <row r="13" spans="1:35" ht="13.2" hidden="1" customHeight="1" x14ac:dyDescent="0.3">
      <c r="C13" s="153"/>
      <c r="D13" s="564"/>
      <c r="E13" s="564"/>
      <c r="G13" s="151"/>
      <c r="H13" s="41"/>
      <c r="I13" s="41"/>
      <c r="AH13" s="145"/>
    </row>
    <row r="14" spans="1:35" s="266" customFormat="1" ht="13.2" customHeight="1" thickBot="1" x14ac:dyDescent="0.3">
      <c r="A14" s="249" t="s">
        <v>67</v>
      </c>
      <c r="B14" s="154" t="s">
        <v>260</v>
      </c>
      <c r="C14" s="249" t="s">
        <v>20</v>
      </c>
      <c r="D14" s="249" t="s">
        <v>16</v>
      </c>
      <c r="E14" s="249" t="s">
        <v>0</v>
      </c>
      <c r="F14" s="258" t="s">
        <v>8</v>
      </c>
      <c r="G14" s="259"/>
      <c r="H14" s="260"/>
      <c r="I14" s="261"/>
      <c r="J14" s="259"/>
      <c r="K14" s="260"/>
      <c r="L14" s="261"/>
      <c r="M14" s="259"/>
      <c r="N14" s="260"/>
      <c r="O14" s="261"/>
      <c r="P14" s="260"/>
      <c r="Q14" s="260"/>
      <c r="R14" s="260"/>
      <c r="S14" s="259"/>
      <c r="T14" s="260"/>
      <c r="U14" s="261"/>
      <c r="V14" s="259"/>
      <c r="W14" s="260"/>
      <c r="X14" s="261"/>
      <c r="Y14" s="260"/>
      <c r="Z14" s="260"/>
      <c r="AA14" s="260"/>
      <c r="AB14" s="259"/>
      <c r="AC14" s="260"/>
      <c r="AD14" s="261"/>
      <c r="AE14" s="262" t="s">
        <v>19</v>
      </c>
      <c r="AF14" s="263" t="s">
        <v>29</v>
      </c>
      <c r="AG14" s="264"/>
      <c r="AH14" s="265" t="s">
        <v>28</v>
      </c>
    </row>
    <row r="15" spans="1:35" s="563" customFormat="1" ht="13.2" hidden="1" customHeight="1" x14ac:dyDescent="0.25">
      <c r="F15" s="267"/>
      <c r="I15" s="267"/>
      <c r="L15" s="267"/>
      <c r="O15" s="267"/>
      <c r="U15" s="267"/>
      <c r="X15" s="267"/>
      <c r="AD15" s="267"/>
      <c r="AF15" s="157"/>
      <c r="AG15" s="157"/>
      <c r="AH15" s="152"/>
    </row>
    <row r="16" spans="1:35" ht="13.2" customHeight="1" x14ac:dyDescent="0.25">
      <c r="A16" s="41">
        <f t="shared" ref="A16:A27" ca="1" si="0">RAND()</f>
        <v>0.32136313452211462</v>
      </c>
      <c r="B16" s="220">
        <v>1</v>
      </c>
      <c r="C16" s="162">
        <v>26</v>
      </c>
      <c r="D16" s="268" t="e">
        <f>VLOOKUP(C16,Уч!$A$2:$L$34,2,FALSE)</f>
        <v>#N/A</v>
      </c>
      <c r="E16" s="222" t="e">
        <f>VLOOKUP(C16,Уч!$A$2:$L$34,3,FALSE)</f>
        <v>#N/A</v>
      </c>
      <c r="F16" s="223" t="e">
        <f>VLOOKUP(C16,Уч!$A$2:$L$34,5,FALSE)</f>
        <v>#N/A</v>
      </c>
      <c r="G16" s="274"/>
      <c r="H16" s="271"/>
      <c r="I16" s="274"/>
      <c r="J16" s="271"/>
      <c r="K16" s="274"/>
      <c r="L16" s="271"/>
      <c r="M16" s="274"/>
      <c r="N16" s="271"/>
      <c r="O16" s="271"/>
      <c r="P16" s="271"/>
      <c r="Q16" s="274"/>
      <c r="R16" s="271"/>
      <c r="S16" s="271"/>
      <c r="T16" s="274"/>
      <c r="U16" s="271"/>
      <c r="V16" s="274"/>
      <c r="W16" s="271"/>
      <c r="X16" s="271"/>
      <c r="Y16" s="271"/>
      <c r="Z16" s="274"/>
      <c r="AA16" s="271"/>
      <c r="AB16" s="271"/>
      <c r="AC16" s="274"/>
      <c r="AD16" s="598"/>
      <c r="AE16" s="324">
        <f t="shared" ref="AE16:AE27" si="1">AH16/100</f>
        <v>1.85</v>
      </c>
      <c r="AF16" s="228">
        <f t="shared" ref="AF16:AF27" si="2">IF(AH16&lt;77,0,IF(AH16=0,"0",ROUNDDOWN(0.8465*(AH16-75)^1.42,0)))</f>
        <v>670</v>
      </c>
      <c r="AG16" s="157"/>
      <c r="AH16" s="229">
        <v>185</v>
      </c>
      <c r="AI16" s="564"/>
    </row>
    <row r="17" spans="1:36" ht="13.2" customHeight="1" x14ac:dyDescent="0.25">
      <c r="A17" s="41">
        <f t="shared" ca="1" si="0"/>
        <v>4.1000536571552559E-2</v>
      </c>
      <c r="B17" s="220">
        <v>2</v>
      </c>
      <c r="C17" s="162">
        <v>81</v>
      </c>
      <c r="D17" s="268" t="str">
        <f>VLOOKUP(C17,Уч!$A$2:$L$34,2,FALSE)</f>
        <v>Исаев Максим</v>
      </c>
      <c r="E17" s="222" t="str">
        <f>VLOOKUP(C17,Уч!$A$2:$L$34,3,FALSE)</f>
        <v>10.07.1997</v>
      </c>
      <c r="F17" s="223" t="str">
        <f>VLOOKUP(C17,Уч!$A$2:$L$34,5,FALSE)</f>
        <v xml:space="preserve">Челябинская область  </v>
      </c>
      <c r="G17" s="274"/>
      <c r="H17" s="271"/>
      <c r="I17" s="274"/>
      <c r="J17" s="271"/>
      <c r="K17" s="274"/>
      <c r="L17" s="271"/>
      <c r="M17" s="274"/>
      <c r="N17" s="271"/>
      <c r="O17" s="271"/>
      <c r="P17" s="271"/>
      <c r="Q17" s="274"/>
      <c r="R17" s="271"/>
      <c r="S17" s="271"/>
      <c r="T17" s="274"/>
      <c r="U17" s="271"/>
      <c r="V17" s="274"/>
      <c r="W17" s="271"/>
      <c r="X17" s="271"/>
      <c r="Y17" s="271"/>
      <c r="Z17" s="274"/>
      <c r="AA17" s="271"/>
      <c r="AB17" s="271"/>
      <c r="AC17" s="274"/>
      <c r="AD17" s="598"/>
      <c r="AE17" s="324">
        <f t="shared" si="1"/>
        <v>1.94</v>
      </c>
      <c r="AF17" s="228">
        <f t="shared" si="2"/>
        <v>749</v>
      </c>
      <c r="AG17" s="157"/>
      <c r="AH17" s="229">
        <v>194</v>
      </c>
      <c r="AI17" s="564"/>
    </row>
    <row r="18" spans="1:36" ht="13.2" customHeight="1" x14ac:dyDescent="0.25">
      <c r="A18" s="41">
        <f t="shared" ca="1" si="0"/>
        <v>0.57791320873360963</v>
      </c>
      <c r="B18" s="220">
        <v>3</v>
      </c>
      <c r="C18" s="162">
        <v>80</v>
      </c>
      <c r="D18" s="268" t="e">
        <f>VLOOKUP(C18,Уч!$A$2:$L$34,2,FALSE)</f>
        <v>#N/A</v>
      </c>
      <c r="E18" s="222" t="e">
        <f>VLOOKUP(C18,Уч!$A$2:$L$34,3,FALSE)</f>
        <v>#N/A</v>
      </c>
      <c r="F18" s="223" t="e">
        <f>VLOOKUP(C18,Уч!$A$2:$L$34,5,FALSE)</f>
        <v>#N/A</v>
      </c>
      <c r="G18" s="274"/>
      <c r="H18" s="271"/>
      <c r="I18" s="274"/>
      <c r="J18" s="271"/>
      <c r="K18" s="274"/>
      <c r="L18" s="271"/>
      <c r="M18" s="274"/>
      <c r="N18" s="271"/>
      <c r="O18" s="271"/>
      <c r="P18" s="271"/>
      <c r="Q18" s="274"/>
      <c r="R18" s="271"/>
      <c r="S18" s="271"/>
      <c r="T18" s="274"/>
      <c r="U18" s="271"/>
      <c r="V18" s="274"/>
      <c r="W18" s="271"/>
      <c r="X18" s="271"/>
      <c r="Y18" s="271"/>
      <c r="Z18" s="274"/>
      <c r="AA18" s="271"/>
      <c r="AB18" s="271"/>
      <c r="AC18" s="274"/>
      <c r="AD18" s="598"/>
      <c r="AE18" s="324">
        <f t="shared" si="1"/>
        <v>1.85</v>
      </c>
      <c r="AF18" s="228">
        <f t="shared" si="2"/>
        <v>670</v>
      </c>
      <c r="AG18" s="157"/>
      <c r="AH18" s="229">
        <v>185</v>
      </c>
      <c r="AI18" s="564"/>
    </row>
    <row r="19" spans="1:36" ht="13.2" customHeight="1" x14ac:dyDescent="0.25">
      <c r="A19" s="41">
        <f t="shared" ca="1" si="0"/>
        <v>0.70606288584938781</v>
      </c>
      <c r="B19" s="220">
        <v>4</v>
      </c>
      <c r="C19" s="162">
        <v>70</v>
      </c>
      <c r="D19" s="268" t="e">
        <f>VLOOKUP(C19,Уч!$A$2:$L$34,2,FALSE)</f>
        <v>#N/A</v>
      </c>
      <c r="E19" s="222" t="e">
        <f>VLOOKUP(C19,Уч!$A$2:$L$34,3,FALSE)</f>
        <v>#N/A</v>
      </c>
      <c r="F19" s="223" t="e">
        <f>VLOOKUP(C19,Уч!$A$2:$L$34,5,FALSE)</f>
        <v>#N/A</v>
      </c>
      <c r="G19" s="274"/>
      <c r="H19" s="271"/>
      <c r="I19" s="274"/>
      <c r="J19" s="271"/>
      <c r="K19" s="274"/>
      <c r="L19" s="271"/>
      <c r="M19" s="274"/>
      <c r="N19" s="271"/>
      <c r="O19" s="271"/>
      <c r="P19" s="271"/>
      <c r="Q19" s="274"/>
      <c r="R19" s="271"/>
      <c r="S19" s="271"/>
      <c r="T19" s="274"/>
      <c r="U19" s="271"/>
      <c r="V19" s="274"/>
      <c r="W19" s="271"/>
      <c r="X19" s="271"/>
      <c r="Y19" s="271"/>
      <c r="Z19" s="274"/>
      <c r="AA19" s="271"/>
      <c r="AB19" s="271"/>
      <c r="AC19" s="274"/>
      <c r="AD19" s="598"/>
      <c r="AE19" s="324">
        <f t="shared" si="1"/>
        <v>1.94</v>
      </c>
      <c r="AF19" s="228">
        <f t="shared" si="2"/>
        <v>749</v>
      </c>
      <c r="AG19" s="157"/>
      <c r="AH19" s="229">
        <v>194</v>
      </c>
    </row>
    <row r="20" spans="1:36" ht="13.2" customHeight="1" x14ac:dyDescent="0.25">
      <c r="A20" s="41">
        <f t="shared" ca="1" si="0"/>
        <v>0.74055474968312995</v>
      </c>
      <c r="B20" s="220">
        <v>5</v>
      </c>
      <c r="C20" s="162">
        <v>24</v>
      </c>
      <c r="D20" s="268" t="e">
        <f>VLOOKUP(C20,Уч!$A$2:$L$34,2,FALSE)</f>
        <v>#N/A</v>
      </c>
      <c r="E20" s="222" t="e">
        <f>VLOOKUP(C20,Уч!$A$2:$L$34,3,FALSE)</f>
        <v>#N/A</v>
      </c>
      <c r="F20" s="223" t="e">
        <f>VLOOKUP(C20,Уч!$A$2:$L$34,5,FALSE)</f>
        <v>#N/A</v>
      </c>
      <c r="G20" s="274"/>
      <c r="H20" s="271"/>
      <c r="I20" s="274"/>
      <c r="J20" s="271"/>
      <c r="K20" s="274"/>
      <c r="L20" s="271"/>
      <c r="M20" s="274"/>
      <c r="N20" s="271"/>
      <c r="O20" s="271"/>
      <c r="P20" s="271"/>
      <c r="Q20" s="274"/>
      <c r="R20" s="271"/>
      <c r="S20" s="271"/>
      <c r="T20" s="274"/>
      <c r="U20" s="271"/>
      <c r="V20" s="274"/>
      <c r="W20" s="271"/>
      <c r="X20" s="271"/>
      <c r="Y20" s="271"/>
      <c r="Z20" s="274"/>
      <c r="AA20" s="271"/>
      <c r="AB20" s="271"/>
      <c r="AC20" s="274"/>
      <c r="AD20" s="598"/>
      <c r="AE20" s="324">
        <f t="shared" si="1"/>
        <v>1.88</v>
      </c>
      <c r="AF20" s="228">
        <f t="shared" si="2"/>
        <v>696</v>
      </c>
      <c r="AG20" s="157"/>
      <c r="AH20" s="229">
        <v>188</v>
      </c>
      <c r="AI20" s="564"/>
    </row>
    <row r="21" spans="1:36" ht="13.2" customHeight="1" x14ac:dyDescent="0.25">
      <c r="A21" s="41">
        <f t="shared" ca="1" si="0"/>
        <v>0.70286847496935356</v>
      </c>
      <c r="B21" s="220">
        <v>6</v>
      </c>
      <c r="C21" s="162">
        <v>78</v>
      </c>
      <c r="D21" s="268" t="str">
        <f>VLOOKUP(C21,Уч!$A$2:$L$34,2,FALSE)</f>
        <v>Слаква Максим</v>
      </c>
      <c r="E21" s="222" t="str">
        <f>VLOOKUP(C21,Уч!$A$2:$L$34,3,FALSE)</f>
        <v>10.05.1998</v>
      </c>
      <c r="F21" s="223" t="str">
        <f>VLOOKUP(C21,Уч!$A$2:$L$34,5,FALSE)</f>
        <v xml:space="preserve">Ставропольский край  </v>
      </c>
      <c r="G21" s="274"/>
      <c r="H21" s="271"/>
      <c r="I21" s="274"/>
      <c r="J21" s="271"/>
      <c r="K21" s="274"/>
      <c r="L21" s="271"/>
      <c r="M21" s="274"/>
      <c r="N21" s="271"/>
      <c r="O21" s="271"/>
      <c r="P21" s="271"/>
      <c r="Q21" s="274"/>
      <c r="R21" s="271"/>
      <c r="S21" s="271"/>
      <c r="T21" s="274"/>
      <c r="U21" s="271"/>
      <c r="V21" s="274"/>
      <c r="W21" s="271"/>
      <c r="X21" s="271"/>
      <c r="Y21" s="271"/>
      <c r="Z21" s="274"/>
      <c r="AA21" s="271"/>
      <c r="AB21" s="271"/>
      <c r="AC21" s="274"/>
      <c r="AD21" s="598"/>
      <c r="AE21" s="324">
        <f t="shared" si="1"/>
        <v>0</v>
      </c>
      <c r="AF21" s="228">
        <f t="shared" si="2"/>
        <v>0</v>
      </c>
      <c r="AG21" s="157"/>
      <c r="AH21" s="229">
        <v>0</v>
      </c>
      <c r="AI21" s="564" t="s">
        <v>165</v>
      </c>
    </row>
    <row r="22" spans="1:36" ht="13.2" customHeight="1" x14ac:dyDescent="0.25">
      <c r="A22" s="41">
        <f t="shared" ca="1" si="0"/>
        <v>0.51698204329822239</v>
      </c>
      <c r="B22" s="220">
        <v>7</v>
      </c>
      <c r="C22" s="162">
        <v>62</v>
      </c>
      <c r="D22" s="268" t="e">
        <f>VLOOKUP(C22,Уч!$A$2:$L$34,2,FALSE)</f>
        <v>#N/A</v>
      </c>
      <c r="E22" s="222" t="e">
        <f>VLOOKUP(C22,Уч!$A$2:$L$34,3,FALSE)</f>
        <v>#N/A</v>
      </c>
      <c r="F22" s="223" t="e">
        <f>VLOOKUP(C22,Уч!$A$2:$L$34,5,FALSE)</f>
        <v>#N/A</v>
      </c>
      <c r="G22" s="274"/>
      <c r="H22" s="271"/>
      <c r="I22" s="274"/>
      <c r="J22" s="271"/>
      <c r="K22" s="274"/>
      <c r="L22" s="271"/>
      <c r="M22" s="274"/>
      <c r="N22" s="271"/>
      <c r="O22" s="271"/>
      <c r="P22" s="271"/>
      <c r="Q22" s="274"/>
      <c r="R22" s="271"/>
      <c r="S22" s="271"/>
      <c r="T22" s="274"/>
      <c r="U22" s="271"/>
      <c r="V22" s="274"/>
      <c r="W22" s="271"/>
      <c r="X22" s="271"/>
      <c r="Y22" s="271"/>
      <c r="Z22" s="274"/>
      <c r="AA22" s="271"/>
      <c r="AB22" s="271"/>
      <c r="AC22" s="274"/>
      <c r="AD22" s="598"/>
      <c r="AE22" s="324">
        <f t="shared" si="1"/>
        <v>2.09</v>
      </c>
      <c r="AF22" s="228">
        <f t="shared" si="2"/>
        <v>887</v>
      </c>
      <c r="AG22" s="157"/>
      <c r="AH22" s="229">
        <v>209</v>
      </c>
      <c r="AI22" s="564"/>
    </row>
    <row r="23" spans="1:36" ht="13.2" customHeight="1" x14ac:dyDescent="0.25">
      <c r="A23" s="41">
        <f t="shared" ca="1" si="0"/>
        <v>0.29410725741362298</v>
      </c>
      <c r="B23" s="220">
        <v>8</v>
      </c>
      <c r="C23" s="304">
        <v>63</v>
      </c>
      <c r="D23" s="268" t="e">
        <f>VLOOKUP(C23,Уч!$A$2:$L$34,2,FALSE)</f>
        <v>#N/A</v>
      </c>
      <c r="E23" s="222" t="e">
        <f>VLOOKUP(C23,Уч!$A$2:$L$34,3,FALSE)</f>
        <v>#N/A</v>
      </c>
      <c r="F23" s="223" t="e">
        <f>VLOOKUP(C23,Уч!$A$2:$L$34,5,FALSE)</f>
        <v>#N/A</v>
      </c>
      <c r="G23" s="274"/>
      <c r="H23" s="271"/>
      <c r="I23" s="274"/>
      <c r="J23" s="271"/>
      <c r="K23" s="274"/>
      <c r="L23" s="271"/>
      <c r="M23" s="274"/>
      <c r="N23" s="271"/>
      <c r="O23" s="271"/>
      <c r="P23" s="271"/>
      <c r="Q23" s="274"/>
      <c r="R23" s="271"/>
      <c r="S23" s="271"/>
      <c r="T23" s="274"/>
      <c r="U23" s="271"/>
      <c r="V23" s="274"/>
      <c r="W23" s="271"/>
      <c r="X23" s="271"/>
      <c r="Y23" s="271"/>
      <c r="Z23" s="274"/>
      <c r="AA23" s="271"/>
      <c r="AB23" s="271"/>
      <c r="AC23" s="274"/>
      <c r="AD23" s="598"/>
      <c r="AE23" s="324">
        <f t="shared" si="1"/>
        <v>1.94</v>
      </c>
      <c r="AF23" s="228">
        <f t="shared" si="2"/>
        <v>749</v>
      </c>
      <c r="AG23" s="157"/>
      <c r="AH23" s="229">
        <v>194</v>
      </c>
      <c r="AI23" s="564"/>
    </row>
    <row r="24" spans="1:36" ht="13.2" customHeight="1" x14ac:dyDescent="0.25">
      <c r="A24" s="41">
        <f t="shared" ca="1" si="0"/>
        <v>0.77810651465312453</v>
      </c>
      <c r="B24" s="220">
        <v>9</v>
      </c>
      <c r="C24" s="162">
        <v>50</v>
      </c>
      <c r="D24" s="268" t="e">
        <f>VLOOKUP(C24,Уч!$A$2:$L$34,2,FALSE)</f>
        <v>#N/A</v>
      </c>
      <c r="E24" s="222" t="e">
        <f>VLOOKUP(C24,Уч!$A$2:$L$34,3,FALSE)</f>
        <v>#N/A</v>
      </c>
      <c r="F24" s="223" t="e">
        <f>VLOOKUP(C24,Уч!$A$2:$L$34,5,FALSE)</f>
        <v>#N/A</v>
      </c>
      <c r="G24" s="274"/>
      <c r="H24" s="271"/>
      <c r="I24" s="274"/>
      <c r="J24" s="271"/>
      <c r="K24" s="274"/>
      <c r="L24" s="271"/>
      <c r="M24" s="274"/>
      <c r="N24" s="271"/>
      <c r="O24" s="271"/>
      <c r="P24" s="271"/>
      <c r="Q24" s="274"/>
      <c r="R24" s="271"/>
      <c r="S24" s="271"/>
      <c r="T24" s="274"/>
      <c r="U24" s="271"/>
      <c r="V24" s="274"/>
      <c r="W24" s="271"/>
      <c r="X24" s="271"/>
      <c r="Y24" s="271"/>
      <c r="Z24" s="274"/>
      <c r="AA24" s="271"/>
      <c r="AB24" s="271"/>
      <c r="AC24" s="274"/>
      <c r="AD24" s="598"/>
      <c r="AE24" s="324">
        <f t="shared" si="1"/>
        <v>0</v>
      </c>
      <c r="AF24" s="228">
        <f t="shared" si="2"/>
        <v>0</v>
      </c>
      <c r="AG24" s="157"/>
      <c r="AH24" s="229">
        <v>0</v>
      </c>
      <c r="AI24" s="564" t="s">
        <v>165</v>
      </c>
    </row>
    <row r="25" spans="1:36" ht="13.2" customHeight="1" x14ac:dyDescent="0.25">
      <c r="A25" s="41">
        <f t="shared" ca="1" si="0"/>
        <v>0.39808481948724583</v>
      </c>
      <c r="B25" s="220">
        <v>10</v>
      </c>
      <c r="C25" s="197">
        <v>44</v>
      </c>
      <c r="D25" s="268" t="str">
        <f>VLOOKUP(C25,Уч!$A$2:$L$34,2,FALSE)</f>
        <v>Хамедов Игорь</v>
      </c>
      <c r="E25" s="222" t="str">
        <f>VLOOKUP(C25,Уч!$A$2:$L$34,3,FALSE)</f>
        <v>30.05.1998</v>
      </c>
      <c r="F25" s="223" t="str">
        <f>VLOOKUP(C25,Уч!$A$2:$L$34,5,FALSE)</f>
        <v xml:space="preserve">Кемеровская область  </v>
      </c>
      <c r="G25" s="274"/>
      <c r="H25" s="271"/>
      <c r="I25" s="274"/>
      <c r="J25" s="271"/>
      <c r="K25" s="274"/>
      <c r="L25" s="271"/>
      <c r="M25" s="274"/>
      <c r="N25" s="271"/>
      <c r="O25" s="271"/>
      <c r="P25" s="271"/>
      <c r="Q25" s="274"/>
      <c r="R25" s="271"/>
      <c r="S25" s="271"/>
      <c r="T25" s="274"/>
      <c r="U25" s="271"/>
      <c r="V25" s="274"/>
      <c r="W25" s="271"/>
      <c r="X25" s="271"/>
      <c r="Y25" s="271"/>
      <c r="Z25" s="274"/>
      <c r="AA25" s="271"/>
      <c r="AB25" s="271"/>
      <c r="AC25" s="274"/>
      <c r="AD25" s="598"/>
      <c r="AE25" s="324">
        <f t="shared" si="1"/>
        <v>2.0299999999999998</v>
      </c>
      <c r="AF25" s="228">
        <f t="shared" si="2"/>
        <v>831</v>
      </c>
      <c r="AG25" s="157"/>
      <c r="AH25" s="229">
        <v>203</v>
      </c>
      <c r="AI25" s="564"/>
    </row>
    <row r="26" spans="1:36" ht="13.2" customHeight="1" x14ac:dyDescent="0.25">
      <c r="A26" s="41">
        <f t="shared" ca="1" si="0"/>
        <v>0.12701248726208536</v>
      </c>
      <c r="B26" s="220">
        <v>11</v>
      </c>
      <c r="C26" s="162">
        <v>41</v>
      </c>
      <c r="D26" s="268" t="str">
        <f>VLOOKUP(C26,Уч!$A$2:$L$34,2,FALSE)</f>
        <v>Фомичев Андрей</v>
      </c>
      <c r="E26" s="222" t="str">
        <f>VLOOKUP(C26,Уч!$A$2:$L$34,3,FALSE)</f>
        <v>15.12.1996</v>
      </c>
      <c r="F26" s="223" t="str">
        <f>VLOOKUP(C26,Уч!$A$2:$L$34,5,FALSE)</f>
        <v xml:space="preserve">Кемеровская область  </v>
      </c>
      <c r="G26" s="274"/>
      <c r="H26" s="271"/>
      <c r="I26" s="274"/>
      <c r="J26" s="271"/>
      <c r="K26" s="274"/>
      <c r="L26" s="271"/>
      <c r="M26" s="274"/>
      <c r="N26" s="271"/>
      <c r="O26" s="271"/>
      <c r="P26" s="271"/>
      <c r="Q26" s="274"/>
      <c r="R26" s="271"/>
      <c r="S26" s="271"/>
      <c r="T26" s="274"/>
      <c r="U26" s="271"/>
      <c r="V26" s="274"/>
      <c r="W26" s="271"/>
      <c r="X26" s="271"/>
      <c r="Y26" s="271"/>
      <c r="Z26" s="274"/>
      <c r="AA26" s="271"/>
      <c r="AB26" s="271"/>
      <c r="AC26" s="274"/>
      <c r="AD26" s="598"/>
      <c r="AE26" s="324">
        <f t="shared" si="1"/>
        <v>2.06</v>
      </c>
      <c r="AF26" s="228">
        <f t="shared" si="2"/>
        <v>859</v>
      </c>
      <c r="AG26" s="157"/>
      <c r="AH26" s="229">
        <v>206</v>
      </c>
    </row>
    <row r="27" spans="1:36" ht="13.2" customHeight="1" x14ac:dyDescent="0.25">
      <c r="A27" s="41">
        <f t="shared" ca="1" si="0"/>
        <v>0.46737301574082468</v>
      </c>
      <c r="B27" s="220">
        <v>12</v>
      </c>
      <c r="C27" s="162">
        <v>69</v>
      </c>
      <c r="D27" s="268" t="e">
        <f>VLOOKUP(C27,Уч!$A$2:$L$34,2,FALSE)</f>
        <v>#N/A</v>
      </c>
      <c r="E27" s="222" t="e">
        <f>VLOOKUP(C27,Уч!$A$2:$L$34,3,FALSE)</f>
        <v>#N/A</v>
      </c>
      <c r="F27" s="223" t="e">
        <f>VLOOKUP(C27,Уч!$A$2:$L$34,5,FALSE)</f>
        <v>#N/A</v>
      </c>
      <c r="G27" s="274"/>
      <c r="H27" s="271"/>
      <c r="I27" s="274"/>
      <c r="J27" s="271"/>
      <c r="K27" s="274"/>
      <c r="L27" s="271"/>
      <c r="M27" s="274"/>
      <c r="N27" s="271"/>
      <c r="O27" s="271"/>
      <c r="P27" s="271"/>
      <c r="Q27" s="274"/>
      <c r="R27" s="271"/>
      <c r="S27" s="271"/>
      <c r="T27" s="274"/>
      <c r="U27" s="271"/>
      <c r="V27" s="274"/>
      <c r="W27" s="271"/>
      <c r="X27" s="271"/>
      <c r="Y27" s="271"/>
      <c r="Z27" s="274"/>
      <c r="AA27" s="271"/>
      <c r="AB27" s="271"/>
      <c r="AC27" s="274"/>
      <c r="AD27" s="598"/>
      <c r="AE27" s="324">
        <f t="shared" si="1"/>
        <v>1.91</v>
      </c>
      <c r="AF27" s="228">
        <f t="shared" si="2"/>
        <v>723</v>
      </c>
      <c r="AG27" s="157"/>
      <c r="AH27" s="229">
        <v>191</v>
      </c>
      <c r="AI27" s="564"/>
    </row>
    <row r="28" spans="1:36" ht="13.2" customHeight="1" x14ac:dyDescent="0.25">
      <c r="A28" s="41">
        <f t="shared" ref="A28:A44" ca="1" si="3">RAND()</f>
        <v>0.96686239570829935</v>
      </c>
      <c r="B28" s="575"/>
      <c r="C28" s="583"/>
      <c r="D28" s="595"/>
      <c r="E28" s="577"/>
      <c r="F28" s="578"/>
      <c r="G28" s="596"/>
      <c r="H28" s="597"/>
      <c r="I28" s="596"/>
      <c r="J28" s="597"/>
      <c r="K28" s="596"/>
      <c r="L28" s="597"/>
      <c r="M28" s="596"/>
      <c r="N28" s="597"/>
      <c r="O28" s="597"/>
      <c r="P28" s="597"/>
      <c r="Q28" s="596"/>
      <c r="R28" s="597"/>
      <c r="S28" s="597"/>
      <c r="T28" s="596"/>
      <c r="U28" s="597"/>
      <c r="V28" s="596"/>
      <c r="W28" s="597"/>
      <c r="X28" s="597"/>
      <c r="Y28" s="597"/>
      <c r="Z28" s="596"/>
      <c r="AA28" s="597"/>
      <c r="AB28" s="597"/>
      <c r="AC28" s="596"/>
      <c r="AD28" s="597"/>
      <c r="AE28" s="581"/>
      <c r="AF28" s="228">
        <f t="shared" ref="AF28:AF40" si="4">IF(AH28&lt;77,0,IF(AH28=0,"0",ROUNDDOWN(0.8465*(AH28-75)^1.42,0)))</f>
        <v>723</v>
      </c>
      <c r="AG28" s="157"/>
      <c r="AH28" s="229">
        <v>191</v>
      </c>
      <c r="AI28" s="564"/>
    </row>
    <row r="29" spans="1:36" ht="16.05" customHeight="1" x14ac:dyDescent="0.25">
      <c r="A29" s="41">
        <f t="shared" ca="1" si="3"/>
        <v>0.77243634036216302</v>
      </c>
      <c r="B29" s="557" t="s">
        <v>325</v>
      </c>
      <c r="C29" s="583"/>
      <c r="D29" s="595"/>
      <c r="E29" s="577"/>
      <c r="F29" s="578"/>
      <c r="G29" s="596"/>
      <c r="H29" s="597"/>
      <c r="I29" s="596"/>
      <c r="J29" s="597"/>
      <c r="K29" s="596"/>
      <c r="L29" s="597"/>
      <c r="M29" s="596"/>
      <c r="N29" s="597"/>
      <c r="O29" s="597"/>
      <c r="P29" s="597"/>
      <c r="Q29" s="596"/>
      <c r="R29" s="597"/>
      <c r="S29" s="597"/>
      <c r="T29" s="596"/>
      <c r="U29" s="597"/>
      <c r="V29" s="596"/>
      <c r="W29" s="597"/>
      <c r="X29" s="597"/>
      <c r="Y29" s="597"/>
      <c r="Z29" s="596"/>
      <c r="AA29" s="597"/>
      <c r="AB29" s="597"/>
      <c r="AC29" s="596"/>
      <c r="AD29" s="597"/>
      <c r="AE29" s="581"/>
      <c r="AF29" s="228">
        <f t="shared" si="4"/>
        <v>670</v>
      </c>
      <c r="AG29" s="157"/>
      <c r="AH29" s="229">
        <v>185</v>
      </c>
      <c r="AI29" s="564"/>
    </row>
    <row r="30" spans="1:36" ht="16.05" customHeight="1" x14ac:dyDescent="0.25">
      <c r="A30" s="41">
        <f t="shared" ca="1" si="3"/>
        <v>0.58448882172469341</v>
      </c>
      <c r="B30" s="557" t="s">
        <v>332</v>
      </c>
      <c r="C30" s="575"/>
      <c r="D30" s="595"/>
      <c r="E30" s="577"/>
      <c r="F30" s="578"/>
      <c r="G30" s="596"/>
      <c r="H30" s="597"/>
      <c r="I30" s="596"/>
      <c r="J30" s="597"/>
      <c r="K30" s="596"/>
      <c r="L30" s="597"/>
      <c r="M30" s="596"/>
      <c r="N30" s="597"/>
      <c r="O30" s="597"/>
      <c r="P30" s="597"/>
      <c r="Q30" s="596"/>
      <c r="R30" s="597"/>
      <c r="S30" s="597"/>
      <c r="T30" s="596"/>
      <c r="U30" s="597"/>
      <c r="V30" s="596"/>
      <c r="W30" s="597"/>
      <c r="X30" s="597"/>
      <c r="Y30" s="597"/>
      <c r="Z30" s="596"/>
      <c r="AA30" s="597"/>
      <c r="AB30" s="597"/>
      <c r="AC30" s="596"/>
      <c r="AD30" s="597"/>
      <c r="AE30" s="581"/>
      <c r="AF30" s="228">
        <f t="shared" si="4"/>
        <v>0</v>
      </c>
      <c r="AG30" s="157"/>
      <c r="AH30" s="229">
        <v>0</v>
      </c>
      <c r="AI30" s="564" t="s">
        <v>165</v>
      </c>
      <c r="AJ30" s="41" t="s">
        <v>244</v>
      </c>
    </row>
    <row r="31" spans="1:36" ht="16.05" customHeight="1" x14ac:dyDescent="0.25">
      <c r="A31" s="41">
        <f t="shared" ca="1" si="3"/>
        <v>0.32254160740799453</v>
      </c>
      <c r="B31" s="557" t="s">
        <v>333</v>
      </c>
      <c r="C31" s="575"/>
      <c r="D31" s="595"/>
      <c r="E31" s="577"/>
      <c r="F31" s="578"/>
      <c r="G31" s="596"/>
      <c r="H31" s="597"/>
      <c r="I31" s="596"/>
      <c r="J31" s="597"/>
      <c r="K31" s="596"/>
      <c r="L31" s="597"/>
      <c r="M31" s="596"/>
      <c r="N31" s="597"/>
      <c r="O31" s="597"/>
      <c r="P31" s="597"/>
      <c r="Q31" s="596"/>
      <c r="R31" s="597"/>
      <c r="S31" s="597"/>
      <c r="T31" s="596"/>
      <c r="U31" s="597"/>
      <c r="V31" s="596"/>
      <c r="W31" s="597"/>
      <c r="X31" s="597"/>
      <c r="Y31" s="597"/>
      <c r="Z31" s="596"/>
      <c r="AA31" s="597"/>
      <c r="AB31" s="597"/>
      <c r="AC31" s="596"/>
      <c r="AD31" s="597"/>
      <c r="AE31" s="581"/>
      <c r="AF31" s="228">
        <f t="shared" si="4"/>
        <v>644</v>
      </c>
      <c r="AG31" s="157"/>
      <c r="AH31" s="229">
        <v>182</v>
      </c>
      <c r="AI31" s="564"/>
    </row>
    <row r="32" spans="1:36" ht="13.2" customHeight="1" x14ac:dyDescent="0.25">
      <c r="A32" s="41">
        <f t="shared" ca="1" si="3"/>
        <v>0.80185959428356346</v>
      </c>
      <c r="B32" s="575"/>
      <c r="C32" s="583"/>
      <c r="D32" s="595"/>
      <c r="E32" s="577"/>
      <c r="F32" s="578"/>
      <c r="G32" s="596"/>
      <c r="H32" s="597"/>
      <c r="I32" s="596"/>
      <c r="J32" s="597"/>
      <c r="K32" s="596"/>
      <c r="L32" s="597"/>
      <c r="M32" s="596"/>
      <c r="N32" s="597"/>
      <c r="O32" s="597"/>
      <c r="P32" s="597"/>
      <c r="Q32" s="596"/>
      <c r="R32" s="597"/>
      <c r="S32" s="597"/>
      <c r="T32" s="596"/>
      <c r="U32" s="597"/>
      <c r="V32" s="596"/>
      <c r="W32" s="597"/>
      <c r="X32" s="597"/>
      <c r="Y32" s="597"/>
      <c r="Z32" s="596"/>
      <c r="AA32" s="597"/>
      <c r="AB32" s="597"/>
      <c r="AC32" s="596"/>
      <c r="AD32" s="597"/>
      <c r="AE32" s="581"/>
      <c r="AF32" s="228">
        <f t="shared" si="4"/>
        <v>0</v>
      </c>
      <c r="AG32" s="157"/>
      <c r="AH32" s="229">
        <v>0</v>
      </c>
      <c r="AI32" s="564" t="s">
        <v>165</v>
      </c>
    </row>
    <row r="33" spans="1:36" x14ac:dyDescent="0.25">
      <c r="A33" s="41">
        <f t="shared" ca="1" si="3"/>
        <v>0.78371416416985906</v>
      </c>
      <c r="B33" s="568">
        <v>18</v>
      </c>
      <c r="C33" s="569">
        <v>40</v>
      </c>
      <c r="D33" s="587" t="str">
        <f>VLOOKUP(C33,Уч!$A$2:$L$34,2,FALSE)</f>
        <v>Черкасов Алексей</v>
      </c>
      <c r="E33" s="327" t="str">
        <f>VLOOKUP(C33,Уч!$A$2:$L$34,3,FALSE)</f>
        <v>22.10.1994</v>
      </c>
      <c r="F33" s="588" t="str">
        <f>VLOOKUP(C33,Уч!$A$2:$L$34,5,FALSE)</f>
        <v xml:space="preserve">Кемеровская область Санкт-Петербург </v>
      </c>
      <c r="G33" s="589"/>
      <c r="H33" s="590"/>
      <c r="I33" s="591"/>
      <c r="J33" s="592"/>
      <c r="K33" s="593"/>
      <c r="L33" s="594"/>
      <c r="M33" s="589"/>
      <c r="N33" s="590"/>
      <c r="O33" s="594"/>
      <c r="P33" s="592"/>
      <c r="Q33" s="593"/>
      <c r="R33" s="594"/>
      <c r="S33" s="592"/>
      <c r="T33" s="593"/>
      <c r="U33" s="594"/>
      <c r="V33" s="589"/>
      <c r="W33" s="590"/>
      <c r="X33" s="594"/>
      <c r="Y33" s="592"/>
      <c r="Z33" s="593"/>
      <c r="AA33" s="594"/>
      <c r="AB33" s="592"/>
      <c r="AC33" s="593"/>
      <c r="AD33" s="594"/>
      <c r="AE33" s="573">
        <f t="shared" ref="AE33:AE40" si="5">AH33/100</f>
        <v>0</v>
      </c>
      <c r="AF33" s="228">
        <f t="shared" si="4"/>
        <v>0</v>
      </c>
      <c r="AG33" s="157"/>
      <c r="AH33" s="229">
        <v>0</v>
      </c>
      <c r="AI33" s="564" t="s">
        <v>165</v>
      </c>
    </row>
    <row r="34" spans="1:36" x14ac:dyDescent="0.25">
      <c r="A34" s="41">
        <f t="shared" ca="1" si="3"/>
        <v>0.1407971709054685</v>
      </c>
      <c r="B34" s="220">
        <v>19</v>
      </c>
      <c r="C34" s="220">
        <v>62</v>
      </c>
      <c r="D34" s="268" t="e">
        <f>VLOOKUP(C34,Уч!$A$2:$L$34,2,FALSE)</f>
        <v>#N/A</v>
      </c>
      <c r="E34" s="222" t="e">
        <f>VLOOKUP(C34,Уч!$A$2:$L$34,3,FALSE)</f>
        <v>#N/A</v>
      </c>
      <c r="F34" s="269" t="e">
        <f>VLOOKUP(C34,Уч!$A$2:$L$34,5,FALSE)</f>
        <v>#N/A</v>
      </c>
      <c r="G34" s="270"/>
      <c r="H34" s="271"/>
      <c r="I34" s="272"/>
      <c r="J34" s="273"/>
      <c r="K34" s="274"/>
      <c r="L34" s="275"/>
      <c r="M34" s="270"/>
      <c r="N34" s="271"/>
      <c r="O34" s="275"/>
      <c r="P34" s="273"/>
      <c r="Q34" s="274"/>
      <c r="R34" s="275"/>
      <c r="S34" s="273"/>
      <c r="T34" s="274"/>
      <c r="U34" s="275"/>
      <c r="V34" s="270"/>
      <c r="W34" s="271"/>
      <c r="X34" s="275"/>
      <c r="Y34" s="273"/>
      <c r="Z34" s="274"/>
      <c r="AA34" s="275"/>
      <c r="AB34" s="273"/>
      <c r="AC34" s="274"/>
      <c r="AD34" s="275"/>
      <c r="AE34" s="226">
        <f t="shared" si="5"/>
        <v>1.94</v>
      </c>
      <c r="AF34" s="228">
        <f t="shared" si="4"/>
        <v>749</v>
      </c>
      <c r="AG34" s="157"/>
      <c r="AH34" s="229">
        <v>194</v>
      </c>
      <c r="AI34" s="564"/>
    </row>
    <row r="35" spans="1:36" x14ac:dyDescent="0.25">
      <c r="A35" s="41">
        <f t="shared" ca="1" si="3"/>
        <v>0.60642569397284518</v>
      </c>
      <c r="B35" s="220">
        <v>20</v>
      </c>
      <c r="C35" s="220">
        <v>13</v>
      </c>
      <c r="D35" s="268" t="e">
        <f>VLOOKUP(C35,Уч!$A$2:$L$34,2,FALSE)</f>
        <v>#N/A</v>
      </c>
      <c r="E35" s="222" t="e">
        <f>VLOOKUP(C35,Уч!$A$2:$L$34,3,FALSE)</f>
        <v>#N/A</v>
      </c>
      <c r="F35" s="269" t="e">
        <f>VLOOKUP(C35,Уч!$A$2:$L$34,5,FALSE)</f>
        <v>#N/A</v>
      </c>
      <c r="G35" s="270"/>
      <c r="H35" s="271"/>
      <c r="I35" s="272"/>
      <c r="J35" s="273"/>
      <c r="K35" s="274"/>
      <c r="L35" s="275"/>
      <c r="M35" s="270"/>
      <c r="N35" s="271"/>
      <c r="O35" s="275"/>
      <c r="P35" s="273"/>
      <c r="Q35" s="274"/>
      <c r="R35" s="275"/>
      <c r="S35" s="273"/>
      <c r="T35" s="274"/>
      <c r="U35" s="275"/>
      <c r="V35" s="270"/>
      <c r="W35" s="271"/>
      <c r="X35" s="275"/>
      <c r="Y35" s="273"/>
      <c r="Z35" s="274"/>
      <c r="AA35" s="275"/>
      <c r="AB35" s="273"/>
      <c r="AC35" s="274"/>
      <c r="AD35" s="275"/>
      <c r="AE35" s="226">
        <f t="shared" si="5"/>
        <v>2</v>
      </c>
      <c r="AF35" s="228">
        <f t="shared" si="4"/>
        <v>803</v>
      </c>
      <c r="AG35" s="157"/>
      <c r="AH35" s="229">
        <v>200</v>
      </c>
      <c r="AI35" s="564"/>
    </row>
    <row r="36" spans="1:36" x14ac:dyDescent="0.25">
      <c r="A36" s="41">
        <f t="shared" ca="1" si="3"/>
        <v>0.29381420021711413</v>
      </c>
      <c r="B36" s="220">
        <v>21</v>
      </c>
      <c r="C36" s="220">
        <v>27</v>
      </c>
      <c r="D36" s="268" t="e">
        <f>VLOOKUP(C36,Уч!$A$2:$L$34,2,FALSE)</f>
        <v>#N/A</v>
      </c>
      <c r="E36" s="222" t="e">
        <f>VLOOKUP(C36,Уч!$A$2:$L$34,3,FALSE)</f>
        <v>#N/A</v>
      </c>
      <c r="F36" s="269" t="e">
        <f>VLOOKUP(C36,Уч!$A$2:$L$34,5,FALSE)</f>
        <v>#N/A</v>
      </c>
      <c r="G36" s="270"/>
      <c r="H36" s="271"/>
      <c r="I36" s="272"/>
      <c r="J36" s="273"/>
      <c r="K36" s="274"/>
      <c r="L36" s="275"/>
      <c r="M36" s="270"/>
      <c r="N36" s="271"/>
      <c r="O36" s="275"/>
      <c r="P36" s="273"/>
      <c r="Q36" s="274"/>
      <c r="R36" s="275"/>
      <c r="S36" s="273"/>
      <c r="T36" s="274"/>
      <c r="U36" s="275"/>
      <c r="V36" s="270"/>
      <c r="W36" s="271"/>
      <c r="X36" s="275"/>
      <c r="Y36" s="273"/>
      <c r="Z36" s="274"/>
      <c r="AA36" s="275"/>
      <c r="AB36" s="273"/>
      <c r="AC36" s="274"/>
      <c r="AD36" s="275"/>
      <c r="AE36" s="226">
        <f t="shared" si="5"/>
        <v>1.85</v>
      </c>
      <c r="AF36" s="228">
        <f t="shared" si="4"/>
        <v>670</v>
      </c>
      <c r="AG36" s="157"/>
      <c r="AH36" s="229">
        <v>185</v>
      </c>
      <c r="AI36" s="564"/>
    </row>
    <row r="37" spans="1:36" x14ac:dyDescent="0.25">
      <c r="A37" s="41">
        <f t="shared" ca="1" si="3"/>
        <v>4.5893186957551957E-2</v>
      </c>
      <c r="B37" s="220">
        <v>22</v>
      </c>
      <c r="C37" s="230">
        <v>66</v>
      </c>
      <c r="D37" s="268" t="e">
        <f>VLOOKUP(C37,Уч!$A$2:$L$34,2,FALSE)</f>
        <v>#N/A</v>
      </c>
      <c r="E37" s="222" t="e">
        <f>VLOOKUP(C37,Уч!$A$2:$L$34,3,FALSE)</f>
        <v>#N/A</v>
      </c>
      <c r="F37" s="269" t="e">
        <f>VLOOKUP(C37,Уч!$A$2:$L$34,5,FALSE)</f>
        <v>#N/A</v>
      </c>
      <c r="G37" s="270"/>
      <c r="H37" s="271"/>
      <c r="I37" s="272"/>
      <c r="J37" s="273"/>
      <c r="K37" s="274"/>
      <c r="L37" s="275"/>
      <c r="M37" s="270"/>
      <c r="N37" s="271"/>
      <c r="O37" s="275"/>
      <c r="P37" s="273"/>
      <c r="Q37" s="274"/>
      <c r="R37" s="275"/>
      <c r="S37" s="273"/>
      <c r="T37" s="274"/>
      <c r="U37" s="275"/>
      <c r="V37" s="270"/>
      <c r="W37" s="271"/>
      <c r="X37" s="275"/>
      <c r="Y37" s="273"/>
      <c r="Z37" s="274"/>
      <c r="AA37" s="275"/>
      <c r="AB37" s="273"/>
      <c r="AC37" s="274"/>
      <c r="AD37" s="275"/>
      <c r="AE37" s="226">
        <f t="shared" si="5"/>
        <v>0</v>
      </c>
      <c r="AF37" s="228">
        <f t="shared" si="4"/>
        <v>0</v>
      </c>
      <c r="AG37" s="157"/>
      <c r="AH37" s="229">
        <v>0</v>
      </c>
      <c r="AI37" s="564" t="s">
        <v>165</v>
      </c>
    </row>
    <row r="38" spans="1:36" x14ac:dyDescent="0.25">
      <c r="A38" s="41">
        <f t="shared" ca="1" si="3"/>
        <v>0.67750165709236365</v>
      </c>
      <c r="B38" s="220">
        <v>23</v>
      </c>
      <c r="C38" s="230">
        <v>39</v>
      </c>
      <c r="D38" s="268" t="str">
        <f>VLOOKUP(C38,Уч!$A$2:$L$34,2,FALSE)</f>
        <v>Левковский Андрей</v>
      </c>
      <c r="E38" s="222" t="str">
        <f>VLOOKUP(C38,Уч!$A$2:$L$34,3,FALSE)</f>
        <v>17.08.1997</v>
      </c>
      <c r="F38" s="269" t="str">
        <f>VLOOKUP(C38,Уч!$A$2:$L$34,5,FALSE)</f>
        <v xml:space="preserve">Кемеровская область  </v>
      </c>
      <c r="G38" s="270"/>
      <c r="H38" s="271"/>
      <c r="I38" s="272"/>
      <c r="J38" s="273"/>
      <c r="K38" s="274"/>
      <c r="L38" s="275"/>
      <c r="M38" s="270"/>
      <c r="N38" s="271"/>
      <c r="O38" s="275"/>
      <c r="P38" s="273"/>
      <c r="Q38" s="274"/>
      <c r="R38" s="275"/>
      <c r="S38" s="273"/>
      <c r="T38" s="274"/>
      <c r="U38" s="275"/>
      <c r="V38" s="270"/>
      <c r="W38" s="271"/>
      <c r="X38" s="275"/>
      <c r="Y38" s="273"/>
      <c r="Z38" s="274"/>
      <c r="AA38" s="275"/>
      <c r="AB38" s="273"/>
      <c r="AC38" s="274"/>
      <c r="AD38" s="275"/>
      <c r="AE38" s="226">
        <f t="shared" si="5"/>
        <v>0</v>
      </c>
      <c r="AF38" s="228">
        <f t="shared" si="4"/>
        <v>0</v>
      </c>
      <c r="AG38" s="157"/>
      <c r="AH38" s="229">
        <v>0</v>
      </c>
      <c r="AI38" s="564" t="s">
        <v>165</v>
      </c>
    </row>
    <row r="39" spans="1:36" x14ac:dyDescent="0.25">
      <c r="A39" s="41">
        <f t="shared" ca="1" si="3"/>
        <v>0.75398982348864607</v>
      </c>
      <c r="B39" s="220">
        <v>24</v>
      </c>
      <c r="C39" s="220">
        <v>22</v>
      </c>
      <c r="D39" s="268" t="str">
        <f>VLOOKUP(C39,Уч!$A$2:$L$34,2,FALSE)</f>
        <v>Чернов Евгений</v>
      </c>
      <c r="E39" s="222" t="str">
        <f>VLOOKUP(C39,Уч!$A$2:$L$34,3,FALSE)</f>
        <v>09.11.1991</v>
      </c>
      <c r="F39" s="269" t="str">
        <f>VLOOKUP(C39,Уч!$A$2:$L$34,5,FALSE)</f>
        <v xml:space="preserve">Краснодарский край  </v>
      </c>
      <c r="G39" s="270"/>
      <c r="H39" s="271"/>
      <c r="I39" s="272"/>
      <c r="J39" s="273"/>
      <c r="K39" s="274"/>
      <c r="L39" s="275"/>
      <c r="M39" s="270"/>
      <c r="N39" s="271"/>
      <c r="O39" s="275"/>
      <c r="P39" s="273"/>
      <c r="Q39" s="274"/>
      <c r="R39" s="275"/>
      <c r="S39" s="273"/>
      <c r="T39" s="274"/>
      <c r="U39" s="275"/>
      <c r="V39" s="270"/>
      <c r="W39" s="271"/>
      <c r="X39" s="275"/>
      <c r="Y39" s="273"/>
      <c r="Z39" s="274"/>
      <c r="AA39" s="275"/>
      <c r="AB39" s="273"/>
      <c r="AC39" s="274"/>
      <c r="AD39" s="275"/>
      <c r="AE39" s="226">
        <f t="shared" si="5"/>
        <v>0</v>
      </c>
      <c r="AF39" s="228">
        <f t="shared" si="4"/>
        <v>0</v>
      </c>
      <c r="AG39" s="157"/>
      <c r="AH39" s="229">
        <v>0</v>
      </c>
      <c r="AI39" s="564"/>
    </row>
    <row r="40" spans="1:36" x14ac:dyDescent="0.25">
      <c r="A40" s="41">
        <f t="shared" ca="1" si="3"/>
        <v>0.4986770796777269</v>
      </c>
      <c r="B40" s="220">
        <v>25</v>
      </c>
      <c r="C40" s="220">
        <v>25</v>
      </c>
      <c r="D40" s="268" t="e">
        <f>VLOOKUP(C40,Уч!$A$2:$L$34,2,FALSE)</f>
        <v>#N/A</v>
      </c>
      <c r="E40" s="222" t="e">
        <f>VLOOKUP(C40,Уч!$A$2:$L$34,3,FALSE)</f>
        <v>#N/A</v>
      </c>
      <c r="F40" s="269" t="e">
        <f>VLOOKUP(C40,Уч!$A$2:$L$34,5,FALSE)</f>
        <v>#N/A</v>
      </c>
      <c r="G40" s="270"/>
      <c r="H40" s="271"/>
      <c r="I40" s="272"/>
      <c r="J40" s="273"/>
      <c r="K40" s="274"/>
      <c r="L40" s="275"/>
      <c r="M40" s="270"/>
      <c r="N40" s="271"/>
      <c r="O40" s="275"/>
      <c r="P40" s="273"/>
      <c r="Q40" s="274"/>
      <c r="R40" s="275"/>
      <c r="S40" s="273"/>
      <c r="T40" s="274"/>
      <c r="U40" s="275"/>
      <c r="V40" s="270"/>
      <c r="W40" s="271"/>
      <c r="X40" s="275"/>
      <c r="Y40" s="273"/>
      <c r="Z40" s="274"/>
      <c r="AA40" s="275"/>
      <c r="AB40" s="273"/>
      <c r="AC40" s="274"/>
      <c r="AD40" s="275"/>
      <c r="AE40" s="226">
        <f t="shared" si="5"/>
        <v>2.12</v>
      </c>
      <c r="AF40" s="228">
        <f t="shared" si="4"/>
        <v>915</v>
      </c>
      <c r="AG40" s="157"/>
      <c r="AH40" s="229">
        <v>212</v>
      </c>
      <c r="AI40" s="564"/>
    </row>
    <row r="41" spans="1:36" x14ac:dyDescent="0.25">
      <c r="A41" s="41">
        <f t="shared" ca="1" si="3"/>
        <v>0.44232930517605962</v>
      </c>
      <c r="B41" s="220">
        <v>26</v>
      </c>
      <c r="C41" s="230"/>
      <c r="D41" s="268" t="e">
        <f>VLOOKUP(C41,Уч!$A$2:$L$34,2,FALSE)</f>
        <v>#N/A</v>
      </c>
      <c r="E41" s="222" t="e">
        <f>VLOOKUP(C41,Уч!$A$2:$L$34,3,FALSE)</f>
        <v>#N/A</v>
      </c>
      <c r="F41" s="269" t="e">
        <f>VLOOKUP(C41,Уч!$A$2:$L$34,5,FALSE)</f>
        <v>#N/A</v>
      </c>
      <c r="G41" s="270"/>
      <c r="H41" s="271"/>
      <c r="I41" s="272"/>
      <c r="J41" s="273"/>
      <c r="K41" s="274"/>
      <c r="L41" s="275"/>
      <c r="M41" s="270"/>
      <c r="N41" s="271"/>
      <c r="O41" s="275"/>
      <c r="P41" s="273"/>
      <c r="Q41" s="274"/>
      <c r="R41" s="275"/>
      <c r="S41" s="273"/>
      <c r="T41" s="274"/>
      <c r="U41" s="275"/>
      <c r="V41" s="270"/>
      <c r="W41" s="271"/>
      <c r="X41" s="275"/>
      <c r="Y41" s="273"/>
      <c r="Z41" s="274"/>
      <c r="AA41" s="275"/>
      <c r="AB41" s="273"/>
      <c r="AC41" s="274"/>
      <c r="AD41" s="275"/>
      <c r="AE41" s="226">
        <f>AH41/100</f>
        <v>0</v>
      </c>
      <c r="AF41" s="228">
        <f>IF(AH41&lt;77,0,IF(AH41=0,"0",ROUNDDOWN(0.8465*(AH41-75)^1.42,0)))</f>
        <v>0</v>
      </c>
      <c r="AG41" s="157"/>
      <c r="AH41" s="229">
        <v>0</v>
      </c>
      <c r="AI41" s="564" t="s">
        <v>165</v>
      </c>
      <c r="AJ41" s="41" t="s">
        <v>243</v>
      </c>
    </row>
    <row r="42" spans="1:36" x14ac:dyDescent="0.25">
      <c r="A42" s="41">
        <f t="shared" ca="1" si="3"/>
        <v>0.12202280594133563</v>
      </c>
      <c r="B42" s="220">
        <v>27</v>
      </c>
      <c r="C42" s="220">
        <v>32</v>
      </c>
      <c r="D42" s="268" t="e">
        <f>VLOOKUP(C42,Уч!$A$2:$L$34,2,FALSE)</f>
        <v>#N/A</v>
      </c>
      <c r="E42" s="222" t="e">
        <f>VLOOKUP(C42,Уч!$A$2:$L$34,3,FALSE)</f>
        <v>#N/A</v>
      </c>
      <c r="F42" s="269" t="e">
        <f>VLOOKUP(C42,Уч!$A$2:$L$34,5,FALSE)</f>
        <v>#N/A</v>
      </c>
      <c r="G42" s="270"/>
      <c r="H42" s="271"/>
      <c r="I42" s="272"/>
      <c r="J42" s="273"/>
      <c r="K42" s="274"/>
      <c r="L42" s="275"/>
      <c r="M42" s="270"/>
      <c r="N42" s="271"/>
      <c r="O42" s="275"/>
      <c r="P42" s="273"/>
      <c r="Q42" s="274"/>
      <c r="R42" s="275"/>
      <c r="S42" s="273"/>
      <c r="T42" s="274"/>
      <c r="U42" s="275"/>
      <c r="V42" s="270"/>
      <c r="W42" s="271"/>
      <c r="X42" s="275"/>
      <c r="Y42" s="273"/>
      <c r="Z42" s="274"/>
      <c r="AA42" s="275"/>
      <c r="AB42" s="273"/>
      <c r="AC42" s="274"/>
      <c r="AD42" s="275"/>
      <c r="AE42" s="226">
        <f>AH42/100</f>
        <v>1.94</v>
      </c>
      <c r="AF42" s="228">
        <f>IF(AH42&lt;77,0,IF(AH42=0,"0",ROUNDDOWN(0.8465*(AH42-75)^1.42,0)))</f>
        <v>749</v>
      </c>
      <c r="AG42" s="157"/>
      <c r="AH42" s="229">
        <v>194</v>
      </c>
    </row>
    <row r="43" spans="1:36" x14ac:dyDescent="0.25">
      <c r="A43" s="41">
        <f t="shared" ca="1" si="3"/>
        <v>0.40973645806027648</v>
      </c>
      <c r="B43" s="220">
        <v>28</v>
      </c>
      <c r="C43" s="220">
        <v>10</v>
      </c>
      <c r="D43" s="268" t="e">
        <f>VLOOKUP(C43,Уч!$A$2:$L$34,2,FALSE)</f>
        <v>#N/A</v>
      </c>
      <c r="E43" s="222" t="e">
        <f>VLOOKUP(C43,Уч!$A$2:$L$34,3,FALSE)</f>
        <v>#N/A</v>
      </c>
      <c r="F43" s="269" t="e">
        <f>VLOOKUP(C43,Уч!$A$2:$L$34,5,FALSE)</f>
        <v>#N/A</v>
      </c>
      <c r="G43" s="270"/>
      <c r="H43" s="271"/>
      <c r="I43" s="272"/>
      <c r="J43" s="273"/>
      <c r="K43" s="274"/>
      <c r="L43" s="275"/>
      <c r="M43" s="270"/>
      <c r="N43" s="271"/>
      <c r="O43" s="275"/>
      <c r="P43" s="273"/>
      <c r="Q43" s="274"/>
      <c r="R43" s="275"/>
      <c r="S43" s="273"/>
      <c r="T43" s="274"/>
      <c r="U43" s="275"/>
      <c r="V43" s="270"/>
      <c r="W43" s="271"/>
      <c r="X43" s="275"/>
      <c r="Y43" s="273"/>
      <c r="Z43" s="274"/>
      <c r="AA43" s="275"/>
      <c r="AB43" s="273"/>
      <c r="AC43" s="274"/>
      <c r="AD43" s="275"/>
      <c r="AE43" s="226">
        <f>AH43/100</f>
        <v>1.97</v>
      </c>
      <c r="AF43" s="228">
        <f>IF(AH43&lt;77,0,IF(AH43=0,"0",ROUNDDOWN(0.8465*(AH43-75)^1.42,0)))</f>
        <v>776</v>
      </c>
      <c r="AG43" s="157"/>
      <c r="AH43" s="229">
        <v>197</v>
      </c>
    </row>
    <row r="44" spans="1:36" x14ac:dyDescent="0.25">
      <c r="A44" s="41">
        <f t="shared" ca="1" si="3"/>
        <v>0.56131893301948299</v>
      </c>
      <c r="B44" s="220">
        <v>28</v>
      </c>
      <c r="C44" s="220">
        <v>41</v>
      </c>
      <c r="D44" s="268" t="str">
        <f>VLOOKUP(C44,Уч!$A$2:$L$34,2,FALSE)</f>
        <v>Фомичев Андрей</v>
      </c>
      <c r="E44" s="222" t="str">
        <f>VLOOKUP(C44,Уч!$A$2:$L$34,3,FALSE)</f>
        <v>15.12.1996</v>
      </c>
      <c r="F44" s="269" t="str">
        <f>VLOOKUP(C44,Уч!$A$2:$L$34,5,FALSE)</f>
        <v xml:space="preserve">Кемеровская область  </v>
      </c>
      <c r="G44" s="270"/>
      <c r="H44" s="271"/>
      <c r="I44" s="272"/>
      <c r="J44" s="273"/>
      <c r="K44" s="274"/>
      <c r="L44" s="275"/>
      <c r="M44" s="270"/>
      <c r="N44" s="271"/>
      <c r="O44" s="275"/>
      <c r="P44" s="273"/>
      <c r="Q44" s="274"/>
      <c r="R44" s="275"/>
      <c r="S44" s="273"/>
      <c r="T44" s="274"/>
      <c r="U44" s="275"/>
      <c r="V44" s="270"/>
      <c r="W44" s="271"/>
      <c r="X44" s="275"/>
      <c r="Y44" s="273"/>
      <c r="Z44" s="274"/>
      <c r="AA44" s="275"/>
      <c r="AB44" s="273"/>
      <c r="AC44" s="274"/>
      <c r="AD44" s="275"/>
      <c r="AE44" s="226">
        <f>AH44/100</f>
        <v>0</v>
      </c>
      <c r="AF44" s="228">
        <f>IF(AH44&lt;77,0,IF(AH44=0,"0",ROUNDDOWN(0.8465*(AH44-75)^1.42,0)))</f>
        <v>0</v>
      </c>
      <c r="AG44" s="157"/>
      <c r="AH44" s="229">
        <v>0</v>
      </c>
      <c r="AI44" s="564" t="s">
        <v>165</v>
      </c>
    </row>
  </sheetData>
  <sortState ref="A16:BA27">
    <sortCondition ref="A16:A27"/>
  </sortState>
  <mergeCells count="7">
    <mergeCell ref="B7:AE7"/>
    <mergeCell ref="B1:AE1"/>
    <mergeCell ref="B2:AE2"/>
    <mergeCell ref="B3:AE3"/>
    <mergeCell ref="B4:AE4"/>
    <mergeCell ref="B5:AE5"/>
    <mergeCell ref="B6:AE6"/>
  </mergeCells>
  <pageMargins left="0.7" right="0.7" top="0.75" bottom="0.75" header="0.3" footer="0.3"/>
  <pageSetup paperSize="9" scale="92" orientation="landscape" verticalDpi="4294967295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33"/>
  </sheetPr>
  <dimension ref="A1:R90"/>
  <sheetViews>
    <sheetView view="pageBreakPreview" topLeftCell="B32" zoomScaleSheetLayoutView="100" workbookViewId="0">
      <selection activeCell="B56" sqref="B56:B58"/>
    </sheetView>
  </sheetViews>
  <sheetFormatPr defaultColWidth="9.109375" defaultRowHeight="13.2" outlineLevelRow="1" outlineLevelCol="1" x14ac:dyDescent="0.25"/>
  <cols>
    <col min="1" max="1" width="12" style="41" hidden="1" customWidth="1" outlineLevel="1"/>
    <col min="2" max="2" width="5.77734375" style="41" customWidth="1" collapsed="1"/>
    <col min="3" max="3" width="5.33203125" style="148" customWidth="1"/>
    <col min="4" max="4" width="22.88671875" style="41" customWidth="1"/>
    <col min="5" max="5" width="10.109375" style="41" customWidth="1"/>
    <col min="6" max="6" width="18.109375" style="277" customWidth="1"/>
    <col min="7" max="7" width="10.5546875" style="41" bestFit="1" customWidth="1"/>
    <col min="8" max="8" width="7.33203125" style="149" customWidth="1"/>
    <col min="9" max="9" width="7.109375" style="41" customWidth="1" outlineLevel="1"/>
    <col min="10" max="16384" width="9.109375" style="41"/>
  </cols>
  <sheetData>
    <row r="1" spans="1:9" ht="13.2" customHeight="1" x14ac:dyDescent="0.25">
      <c r="B1" s="805" t="str">
        <f>Расп!A21</f>
        <v>МИНИСТЕРСТВО СПОРТА РОССИЙСКОЙ ФЕДЕРАЦИИ</v>
      </c>
      <c r="C1" s="805"/>
      <c r="D1" s="805"/>
      <c r="E1" s="805"/>
      <c r="F1" s="805"/>
      <c r="G1" s="805"/>
      <c r="H1" s="808"/>
      <c r="I1" s="658"/>
    </row>
    <row r="2" spans="1:9" ht="13.2" customHeight="1" x14ac:dyDescent="0.25">
      <c r="B2" s="805" t="str">
        <f>Расп!A22</f>
        <v>ВСЕРОССИЙСКАЯ ФЕДЕРАЦИЯ ЛЕГКОЙ АТЛЕТИКИ</v>
      </c>
      <c r="C2" s="805"/>
      <c r="D2" s="805"/>
      <c r="E2" s="805"/>
      <c r="F2" s="805"/>
      <c r="G2" s="805"/>
      <c r="H2" s="808"/>
      <c r="I2" s="658"/>
    </row>
    <row r="3" spans="1:9" ht="13.2" customHeight="1" x14ac:dyDescent="0.25">
      <c r="B3" s="805" t="str">
        <f>Расп!A25</f>
        <v>Командный чемпионат России</v>
      </c>
      <c r="C3" s="805"/>
      <c r="D3" s="805"/>
      <c r="E3" s="805"/>
      <c r="F3" s="805"/>
      <c r="G3" s="805"/>
      <c r="H3" s="808"/>
      <c r="I3" s="658"/>
    </row>
    <row r="4" spans="1:9" ht="13.2" customHeight="1" x14ac:dyDescent="0.25">
      <c r="B4" s="805" t="str">
        <f>Расп!A27</f>
        <v>по многоборью</v>
      </c>
      <c r="C4" s="805"/>
      <c r="D4" s="805"/>
      <c r="E4" s="805"/>
      <c r="F4" s="805"/>
      <c r="G4" s="805"/>
      <c r="H4" s="808"/>
      <c r="I4" s="658"/>
    </row>
    <row r="5" spans="1:9" ht="13.2" customHeight="1" x14ac:dyDescent="0.25">
      <c r="B5" s="802" t="str">
        <f>Расп!A28</f>
        <v>Мужчины</v>
      </c>
      <c r="C5" s="802"/>
      <c r="D5" s="802"/>
      <c r="E5" s="802"/>
      <c r="F5" s="802"/>
      <c r="G5" s="802"/>
      <c r="H5" s="809"/>
      <c r="I5" s="658"/>
    </row>
    <row r="6" spans="1:9" ht="13.2" customHeight="1" x14ac:dyDescent="0.25">
      <c r="B6" s="801" t="s">
        <v>12</v>
      </c>
      <c r="C6" s="801"/>
      <c r="D6" s="801"/>
      <c r="E6" s="801"/>
      <c r="F6" s="801"/>
      <c r="G6" s="801"/>
      <c r="H6" s="807"/>
      <c r="I6" s="658"/>
    </row>
    <row r="7" spans="1:9" ht="13.2" customHeight="1" x14ac:dyDescent="0.25">
      <c r="B7" s="801" t="str">
        <f>Расп!A6</f>
        <v>бег 400 м</v>
      </c>
      <c r="C7" s="801"/>
      <c r="D7" s="801"/>
      <c r="E7" s="801"/>
      <c r="F7" s="801"/>
      <c r="G7" s="801"/>
      <c r="H7" s="807"/>
      <c r="I7" s="658"/>
    </row>
    <row r="8" spans="1:9" ht="13.2" hidden="1" customHeight="1" x14ac:dyDescent="0.3">
      <c r="C8" s="151"/>
      <c r="D8" s="148"/>
      <c r="E8" s="208"/>
      <c r="G8" s="150"/>
      <c r="H8" s="150"/>
      <c r="I8" s="657"/>
    </row>
    <row r="9" spans="1:9" ht="13.2" hidden="1" customHeight="1" x14ac:dyDescent="0.25">
      <c r="D9" s="38"/>
      <c r="G9" s="150"/>
      <c r="H9" s="212"/>
      <c r="I9" s="152" t="s">
        <v>22</v>
      </c>
    </row>
    <row r="10" spans="1:9" ht="13.2" hidden="1" customHeight="1" outlineLevel="1" x14ac:dyDescent="0.3">
      <c r="C10" s="153"/>
      <c r="D10" s="148"/>
      <c r="E10" s="148"/>
      <c r="F10" s="151"/>
      <c r="H10" s="41"/>
      <c r="I10" s="152" t="s">
        <v>23</v>
      </c>
    </row>
    <row r="11" spans="1:9" ht="13.2" hidden="1" customHeight="1" x14ac:dyDescent="0.3">
      <c r="C11" s="153"/>
      <c r="D11" s="148"/>
      <c r="E11" s="148"/>
      <c r="H11" s="41"/>
      <c r="I11" s="152" t="s">
        <v>24</v>
      </c>
    </row>
    <row r="12" spans="1:9" ht="13.2" customHeight="1" outlineLevel="1" x14ac:dyDescent="0.3">
      <c r="B12" s="203" t="str">
        <f>Расп!A1</f>
        <v>04.09.2019 г.</v>
      </c>
      <c r="C12" s="153"/>
      <c r="D12" s="148"/>
      <c r="E12" s="148"/>
      <c r="G12" s="276" t="str">
        <f>Расп!B1</f>
        <v>Начало:</v>
      </c>
      <c r="H12" s="207">
        <v>0.79861111111111116</v>
      </c>
      <c r="I12" s="145"/>
    </row>
    <row r="13" spans="1:9" ht="13.2" customHeight="1" x14ac:dyDescent="0.3">
      <c r="B13" s="41" t="str">
        <f>Расп!A26</f>
        <v>г.Сочи, Адлерский район, стадион "Юность"</v>
      </c>
      <c r="C13" s="153"/>
      <c r="D13" s="148"/>
      <c r="E13" s="148"/>
      <c r="G13" s="276" t="str">
        <f>Расп!C1</f>
        <v>Окончание:</v>
      </c>
      <c r="H13" s="41"/>
      <c r="I13" s="145"/>
    </row>
    <row r="14" spans="1:9" s="156" customFormat="1" ht="13.2" customHeight="1" x14ac:dyDescent="0.25">
      <c r="A14" s="154" t="s">
        <v>37</v>
      </c>
      <c r="B14" s="249" t="s">
        <v>259</v>
      </c>
      <c r="C14" s="154" t="s">
        <v>20</v>
      </c>
      <c r="D14" s="154" t="s">
        <v>16</v>
      </c>
      <c r="E14" s="154" t="s">
        <v>0</v>
      </c>
      <c r="F14" s="278" t="s">
        <v>8</v>
      </c>
      <c r="G14" s="154" t="s">
        <v>19</v>
      </c>
      <c r="H14" s="155" t="s">
        <v>29</v>
      </c>
      <c r="I14" s="152" t="s">
        <v>28</v>
      </c>
    </row>
    <row r="15" spans="1:9" s="156" customFormat="1" ht="13.2" hidden="1" customHeight="1" x14ac:dyDescent="0.25">
      <c r="F15" s="279"/>
      <c r="H15" s="157"/>
      <c r="I15" s="152"/>
    </row>
    <row r="16" spans="1:9" s="156" customFormat="1" ht="13.2" customHeight="1" x14ac:dyDescent="0.25">
      <c r="D16" s="156" t="s">
        <v>21</v>
      </c>
      <c r="F16" s="279"/>
      <c r="H16" s="157"/>
      <c r="I16" s="152"/>
    </row>
    <row r="17" spans="1:18" s="287" customFormat="1" ht="13.2" customHeight="1" x14ac:dyDescent="0.35">
      <c r="A17" s="280">
        <f t="shared" ref="A17:A24" ca="1" si="0">RAND()</f>
        <v>0.56986996711584459</v>
      </c>
      <c r="B17" s="200">
        <v>1</v>
      </c>
      <c r="C17" s="162"/>
      <c r="D17" s="281" t="e">
        <f>VLOOKUP(C17,Уч!$A$2:$L$34,2,FALSE)</f>
        <v>#N/A</v>
      </c>
      <c r="E17" s="282" t="e">
        <f>VLOOKUP(C17,Уч!$A$2:$L$34,3,FALSE)</f>
        <v>#N/A</v>
      </c>
      <c r="F17" s="308" t="e">
        <f>VLOOKUP(C17,Уч!$A$2:$L$34,5,FALSE)</f>
        <v>#N/A</v>
      </c>
      <c r="G17" s="309">
        <f t="shared" ref="G17:G24" si="1">I17/100</f>
        <v>0</v>
      </c>
      <c r="H17" s="285">
        <f t="shared" ref="H17:H22" si="2">IF(I17&gt;8121,0,IF(I17=0,0,ROUNDDOWN(1.53775*(82-I17/100)^1.81,0)))</f>
        <v>0</v>
      </c>
      <c r="I17" s="286"/>
      <c r="J17" s="280"/>
      <c r="K17" s="280"/>
      <c r="L17" s="280"/>
      <c r="M17" s="280"/>
      <c r="N17" s="280"/>
      <c r="O17" s="280"/>
      <c r="P17" s="280"/>
      <c r="Q17" s="280"/>
      <c r="R17" s="280"/>
    </row>
    <row r="18" spans="1:18" s="280" customFormat="1" ht="13.2" customHeight="1" x14ac:dyDescent="0.25">
      <c r="A18" s="280">
        <f t="shared" ca="1" si="0"/>
        <v>0.39412861288667544</v>
      </c>
      <c r="B18" s="200">
        <v>2</v>
      </c>
      <c r="C18" s="654">
        <v>24</v>
      </c>
      <c r="D18" s="288" t="e">
        <f>VLOOKUP(C18,Уч!$A$2:$L$34,2,FALSE)</f>
        <v>#N/A</v>
      </c>
      <c r="E18" s="289" t="e">
        <f>VLOOKUP(C18,Уч!$A$2:$L$34,3,FALSE)</f>
        <v>#N/A</v>
      </c>
      <c r="F18" s="656" t="e">
        <f>VLOOKUP(C18,Уч!$A$2:$L$34,5,FALSE)</f>
        <v>#N/A</v>
      </c>
      <c r="G18" s="659">
        <f t="shared" si="1"/>
        <v>54.8</v>
      </c>
      <c r="H18" s="660">
        <f t="shared" si="2"/>
        <v>607</v>
      </c>
      <c r="I18" s="290">
        <v>5480</v>
      </c>
      <c r="J18" s="291" t="s">
        <v>238</v>
      </c>
      <c r="K18" s="231"/>
      <c r="L18" s="231"/>
      <c r="M18" s="287"/>
      <c r="N18" s="287"/>
      <c r="O18" s="287"/>
      <c r="P18" s="287"/>
      <c r="Q18" s="287"/>
      <c r="R18" s="287"/>
    </row>
    <row r="19" spans="1:18" s="280" customFormat="1" ht="13.2" customHeight="1" x14ac:dyDescent="0.35">
      <c r="A19" s="280">
        <f t="shared" ca="1" si="0"/>
        <v>0.63546356084867484</v>
      </c>
      <c r="B19" s="200">
        <v>3</v>
      </c>
      <c r="C19" s="162">
        <v>90</v>
      </c>
      <c r="D19" s="292" t="e">
        <f>VLOOKUP(C19,Уч!$A$2:$L$34,2,FALSE)</f>
        <v>#N/A</v>
      </c>
      <c r="E19" s="293" t="e">
        <f>VLOOKUP(C19,Уч!$A$2:$L$34,3,FALSE)</f>
        <v>#N/A</v>
      </c>
      <c r="F19" s="378" t="e">
        <f>VLOOKUP(C19,Уч!$A$2:$L$34,5,FALSE)</f>
        <v>#N/A</v>
      </c>
      <c r="G19" s="655">
        <f t="shared" si="1"/>
        <v>0</v>
      </c>
      <c r="H19" s="295">
        <f t="shared" si="2"/>
        <v>0</v>
      </c>
      <c r="I19" s="296"/>
    </row>
    <row r="20" spans="1:18" s="280" customFormat="1" ht="13.2" customHeight="1" x14ac:dyDescent="0.35">
      <c r="A20" s="280">
        <f t="shared" ca="1" si="0"/>
        <v>5.4127014639579585E-2</v>
      </c>
      <c r="B20" s="200">
        <v>4</v>
      </c>
      <c r="C20" s="162">
        <v>81</v>
      </c>
      <c r="D20" s="292" t="str">
        <f>VLOOKUP(C20,Уч!$A$2:$L$34,2,FALSE)</f>
        <v>Исаев Максим</v>
      </c>
      <c r="E20" s="293" t="str">
        <f>VLOOKUP(C20,Уч!$A$2:$L$34,3,FALSE)</f>
        <v>10.07.1997</v>
      </c>
      <c r="F20" s="378" t="str">
        <f>VLOOKUP(C20,Уч!$A$2:$L$34,5,FALSE)</f>
        <v xml:space="preserve">Челябинская область  </v>
      </c>
      <c r="G20" s="655">
        <f t="shared" si="1"/>
        <v>51.28</v>
      </c>
      <c r="H20" s="295">
        <f t="shared" si="2"/>
        <v>757</v>
      </c>
      <c r="I20" s="297">
        <v>5128</v>
      </c>
    </row>
    <row r="21" spans="1:18" s="280" customFormat="1" ht="13.2" customHeight="1" x14ac:dyDescent="0.35">
      <c r="A21" s="280">
        <f t="shared" ca="1" si="0"/>
        <v>0.75533321654683772</v>
      </c>
      <c r="B21" s="200">
        <v>5</v>
      </c>
      <c r="C21" s="162">
        <v>69</v>
      </c>
      <c r="D21" s="292" t="e">
        <f>VLOOKUP(C21,Уч!$A$2:$L$34,2,FALSE)</f>
        <v>#N/A</v>
      </c>
      <c r="E21" s="293" t="e">
        <f>VLOOKUP(C21,Уч!$A$2:$L$34,3,FALSE)</f>
        <v>#N/A</v>
      </c>
      <c r="F21" s="378" t="e">
        <f>VLOOKUP(C21,Уч!$A$2:$L$34,5,FALSE)</f>
        <v>#N/A</v>
      </c>
      <c r="G21" s="655">
        <f t="shared" si="1"/>
        <v>52.67</v>
      </c>
      <c r="H21" s="295">
        <f t="shared" si="2"/>
        <v>696</v>
      </c>
      <c r="I21" s="296">
        <v>5267</v>
      </c>
    </row>
    <row r="22" spans="1:18" s="280" customFormat="1" ht="13.2" customHeight="1" x14ac:dyDescent="0.35">
      <c r="A22" s="280">
        <f t="shared" ca="1" si="0"/>
        <v>0.12693572113068485</v>
      </c>
      <c r="B22" s="200">
        <v>6</v>
      </c>
      <c r="C22" s="162">
        <v>63</v>
      </c>
      <c r="D22" s="292" t="e">
        <f>VLOOKUP(C22,Уч!$A$2:$L$34,2,FALSE)</f>
        <v>#N/A</v>
      </c>
      <c r="E22" s="293" t="e">
        <f>VLOOKUP(C22,Уч!$A$2:$L$34,3,FALSE)</f>
        <v>#N/A</v>
      </c>
      <c r="F22" s="378" t="e">
        <f>VLOOKUP(C22,Уч!$A$2:$L$34,5,FALSE)</f>
        <v>#N/A</v>
      </c>
      <c r="G22" s="655">
        <f t="shared" si="1"/>
        <v>51.43</v>
      </c>
      <c r="H22" s="295">
        <f t="shared" si="2"/>
        <v>750</v>
      </c>
      <c r="I22" s="296">
        <v>5143</v>
      </c>
    </row>
    <row r="23" spans="1:18" s="280" customFormat="1" ht="13.2" customHeight="1" x14ac:dyDescent="0.35">
      <c r="A23" s="280">
        <f t="shared" ca="1" si="0"/>
        <v>0.91479244978850249</v>
      </c>
      <c r="B23" s="200">
        <v>7</v>
      </c>
      <c r="C23" s="162"/>
      <c r="D23" s="292"/>
      <c r="E23" s="293"/>
      <c r="F23" s="378"/>
      <c r="G23" s="309">
        <f t="shared" si="1"/>
        <v>0</v>
      </c>
      <c r="H23" s="285">
        <f>IF(I23&gt;8121,0,IF(I23=0,0,ROUNDDOWN(1.53775*(82-I23/100)^1.81,0)))</f>
        <v>0</v>
      </c>
      <c r="I23" s="296"/>
    </row>
    <row r="24" spans="1:18" s="280" customFormat="1" ht="13.2" customHeight="1" x14ac:dyDescent="0.35">
      <c r="A24" s="280">
        <f t="shared" ca="1" si="0"/>
        <v>0.65019740506366186</v>
      </c>
      <c r="B24" s="200">
        <v>8</v>
      </c>
      <c r="C24" s="177"/>
      <c r="D24" s="281"/>
      <c r="E24" s="282"/>
      <c r="F24" s="283"/>
      <c r="G24" s="309">
        <f t="shared" si="1"/>
        <v>0</v>
      </c>
      <c r="H24" s="285">
        <f>IF(I24&gt;8121,0,IF(I24=0,0,ROUNDDOWN(1.53775*(82-I24/100)^1.81,0)))</f>
        <v>0</v>
      </c>
      <c r="I24" s="286"/>
    </row>
    <row r="25" spans="1:18" s="280" customFormat="1" ht="13.2" hidden="1" customHeight="1" x14ac:dyDescent="0.35">
      <c r="A25" s="231"/>
      <c r="B25" s="231"/>
      <c r="C25" s="298"/>
      <c r="D25" s="299"/>
      <c r="E25" s="300"/>
      <c r="F25" s="301"/>
      <c r="G25" s="302"/>
      <c r="H25" s="303"/>
      <c r="I25" s="296"/>
    </row>
    <row r="26" spans="1:18" s="280" customFormat="1" ht="13.2" customHeight="1" x14ac:dyDescent="0.35">
      <c r="A26" s="231"/>
      <c r="B26" s="231"/>
      <c r="C26" s="298"/>
      <c r="D26" s="287" t="s">
        <v>63</v>
      </c>
      <c r="E26" s="300"/>
      <c r="F26" s="301"/>
      <c r="G26" s="302"/>
      <c r="H26" s="303"/>
      <c r="I26" s="296"/>
    </row>
    <row r="27" spans="1:18" s="280" customFormat="1" ht="13.2" customHeight="1" x14ac:dyDescent="0.35">
      <c r="A27" s="280">
        <f t="shared" ref="A27:A34" ca="1" si="3">RAND()</f>
        <v>7.2085591771138047E-2</v>
      </c>
      <c r="B27" s="200">
        <v>1</v>
      </c>
      <c r="C27" s="162"/>
      <c r="D27" s="281" t="e">
        <f>VLOOKUP(C27,Уч!$A$2:$L$34,2,FALSE)</f>
        <v>#N/A</v>
      </c>
      <c r="E27" s="282" t="e">
        <f>VLOOKUP(C27,Уч!$A$2:$L$34,3,FALSE)</f>
        <v>#N/A</v>
      </c>
      <c r="F27" s="308" t="e">
        <f>VLOOKUP(C27,Уч!$A$2:$L$34,5,FALSE)</f>
        <v>#N/A</v>
      </c>
      <c r="G27" s="309">
        <f t="shared" ref="G27:G33" si="4">I27/100</f>
        <v>0</v>
      </c>
      <c r="H27" s="285">
        <f t="shared" ref="H27:H33" si="5">IF(I27&gt;8121,0,IF(I27=0,0,ROUNDDOWN(1.53775*(82-I27/100)^1.81,0)))</f>
        <v>0</v>
      </c>
      <c r="I27" s="286"/>
    </row>
    <row r="28" spans="1:18" s="280" customFormat="1" ht="13.2" customHeight="1" x14ac:dyDescent="0.35">
      <c r="A28" s="280">
        <f t="shared" ca="1" si="3"/>
        <v>0.40041795559987126</v>
      </c>
      <c r="B28" s="200">
        <v>2</v>
      </c>
      <c r="C28" s="162"/>
      <c r="D28" s="292"/>
      <c r="E28" s="293"/>
      <c r="F28" s="378"/>
      <c r="G28" s="309">
        <f t="shared" si="4"/>
        <v>0</v>
      </c>
      <c r="H28" s="285">
        <f t="shared" si="5"/>
        <v>0</v>
      </c>
      <c r="I28" s="296"/>
    </row>
    <row r="29" spans="1:18" s="280" customFormat="1" ht="13.2" customHeight="1" x14ac:dyDescent="0.35">
      <c r="A29" s="280">
        <f t="shared" ca="1" si="3"/>
        <v>0.52654801161734333</v>
      </c>
      <c r="B29" s="200">
        <v>3</v>
      </c>
      <c r="C29" s="162">
        <v>56</v>
      </c>
      <c r="D29" s="292" t="e">
        <f>VLOOKUP(C29,Уч!$A$2:$L$34,2,FALSE)</f>
        <v>#N/A</v>
      </c>
      <c r="E29" s="293" t="e">
        <f>VLOOKUP(C29,Уч!$A$2:$L$34,3,FALSE)</f>
        <v>#N/A</v>
      </c>
      <c r="F29" s="378" t="e">
        <f>VLOOKUP(C29,Уч!$A$2:$L$34,5,FALSE)</f>
        <v>#N/A</v>
      </c>
      <c r="G29" s="655">
        <f t="shared" si="4"/>
        <v>0</v>
      </c>
      <c r="H29" s="295">
        <f t="shared" si="5"/>
        <v>0</v>
      </c>
      <c r="I29" s="296"/>
    </row>
    <row r="30" spans="1:18" s="280" customFormat="1" ht="13.2" customHeight="1" x14ac:dyDescent="0.35">
      <c r="A30" s="280">
        <f t="shared" ca="1" si="3"/>
        <v>0.51372753965311202</v>
      </c>
      <c r="B30" s="200">
        <v>4</v>
      </c>
      <c r="C30" s="162">
        <v>45</v>
      </c>
      <c r="D30" s="292" t="str">
        <f>VLOOKUP(C30,Уч!$A$2:$L$34,2,FALSE)</f>
        <v>Бочаринский Данила</v>
      </c>
      <c r="E30" s="293" t="str">
        <f>VLOOKUP(C30,Уч!$A$2:$L$34,3,FALSE)</f>
        <v>12.01.1999</v>
      </c>
      <c r="F30" s="378" t="str">
        <f>VLOOKUP(C30,Уч!$A$2:$L$34,5,FALSE)</f>
        <v xml:space="preserve">Кемеровская область  </v>
      </c>
      <c r="G30" s="655">
        <f t="shared" si="4"/>
        <v>49.43</v>
      </c>
      <c r="H30" s="295">
        <f t="shared" si="5"/>
        <v>841</v>
      </c>
      <c r="I30" s="297">
        <v>4943</v>
      </c>
    </row>
    <row r="31" spans="1:18" s="280" customFormat="1" ht="13.2" customHeight="1" x14ac:dyDescent="0.35">
      <c r="A31" s="280">
        <f t="shared" ca="1" si="3"/>
        <v>0.90666962330380652</v>
      </c>
      <c r="B31" s="200">
        <v>5</v>
      </c>
      <c r="C31" s="162">
        <v>80</v>
      </c>
      <c r="D31" s="292" t="e">
        <f>VLOOKUP(C31,Уч!$A$2:$L$34,2,FALSE)</f>
        <v>#N/A</v>
      </c>
      <c r="E31" s="293" t="e">
        <f>VLOOKUP(C31,Уч!$A$2:$L$34,3,FALSE)</f>
        <v>#N/A</v>
      </c>
      <c r="F31" s="378" t="e">
        <f>VLOOKUP(C31,Уч!$A$2:$L$34,5,FALSE)</f>
        <v>#N/A</v>
      </c>
      <c r="G31" s="655">
        <f t="shared" si="4"/>
        <v>49.49</v>
      </c>
      <c r="H31" s="295">
        <f t="shared" si="5"/>
        <v>838</v>
      </c>
      <c r="I31" s="297">
        <v>4949</v>
      </c>
    </row>
    <row r="32" spans="1:18" s="280" customFormat="1" ht="13.2" customHeight="1" x14ac:dyDescent="0.35">
      <c r="A32" s="280">
        <f t="shared" ca="1" si="3"/>
        <v>0.59027618945628624</v>
      </c>
      <c r="B32" s="200">
        <v>6</v>
      </c>
      <c r="C32" s="162">
        <v>70</v>
      </c>
      <c r="D32" s="292" t="e">
        <f>VLOOKUP(C32,Уч!$A$2:$L$34,2,FALSE)</f>
        <v>#N/A</v>
      </c>
      <c r="E32" s="293" t="e">
        <f>VLOOKUP(C32,Уч!$A$2:$L$34,3,FALSE)</f>
        <v>#N/A</v>
      </c>
      <c r="F32" s="378" t="e">
        <f>VLOOKUP(C32,Уч!$A$2:$L$34,5,FALSE)</f>
        <v>#N/A</v>
      </c>
      <c r="G32" s="655">
        <f t="shared" si="4"/>
        <v>49.18</v>
      </c>
      <c r="H32" s="295">
        <f t="shared" si="5"/>
        <v>853</v>
      </c>
      <c r="I32" s="296">
        <v>4918</v>
      </c>
    </row>
    <row r="33" spans="1:10" s="280" customFormat="1" ht="13.2" customHeight="1" x14ac:dyDescent="0.35">
      <c r="A33" s="280">
        <f t="shared" ca="1" si="3"/>
        <v>0.55039935735816004</v>
      </c>
      <c r="B33" s="200">
        <v>7</v>
      </c>
      <c r="C33" s="162">
        <v>68</v>
      </c>
      <c r="D33" s="292" t="e">
        <f>VLOOKUP(C33,Уч!$A$2:$L$34,2,FALSE)</f>
        <v>#N/A</v>
      </c>
      <c r="E33" s="293" t="e">
        <f>VLOOKUP(C33,Уч!$A$2:$L$34,3,FALSE)</f>
        <v>#N/A</v>
      </c>
      <c r="F33" s="378" t="e">
        <f>VLOOKUP(C33,Уч!$A$2:$L$34,5,FALSE)</f>
        <v>#N/A</v>
      </c>
      <c r="G33" s="655">
        <f t="shared" si="4"/>
        <v>0</v>
      </c>
      <c r="H33" s="295">
        <f t="shared" si="5"/>
        <v>0</v>
      </c>
      <c r="I33" s="296"/>
    </row>
    <row r="34" spans="1:10" s="280" customFormat="1" ht="13.2" customHeight="1" x14ac:dyDescent="0.35">
      <c r="A34" s="280">
        <f t="shared" ca="1" si="3"/>
        <v>0.99289029444024246</v>
      </c>
      <c r="B34" s="200">
        <v>8</v>
      </c>
      <c r="C34" s="162"/>
      <c r="D34" s="292"/>
      <c r="E34" s="293"/>
      <c r="F34" s="378"/>
      <c r="G34" s="655"/>
      <c r="H34" s="295"/>
      <c r="I34" s="297"/>
      <c r="J34" s="280" t="s">
        <v>238</v>
      </c>
    </row>
    <row r="35" spans="1:10" s="280" customFormat="1" ht="13.2" customHeight="1" x14ac:dyDescent="0.35">
      <c r="A35" s="231"/>
      <c r="B35" s="231"/>
      <c r="C35" s="304"/>
      <c r="D35" s="299"/>
      <c r="E35" s="300"/>
      <c r="F35" s="301"/>
      <c r="G35" s="302"/>
      <c r="H35" s="303"/>
      <c r="I35" s="296"/>
    </row>
    <row r="36" spans="1:10" s="280" customFormat="1" ht="13.2" customHeight="1" x14ac:dyDescent="0.35">
      <c r="A36" s="231"/>
      <c r="B36" s="231"/>
      <c r="C36" s="298"/>
      <c r="D36" s="287" t="s">
        <v>64</v>
      </c>
      <c r="E36" s="300"/>
      <c r="F36" s="301"/>
      <c r="G36" s="305"/>
      <c r="H36" s="306"/>
      <c r="I36" s="307"/>
    </row>
    <row r="37" spans="1:10" s="280" customFormat="1" ht="13.2" customHeight="1" x14ac:dyDescent="0.35">
      <c r="A37" s="280">
        <f t="shared" ref="A37:A44" ca="1" si="6">RAND()</f>
        <v>0.1497482256382886</v>
      </c>
      <c r="B37" s="200">
        <v>1</v>
      </c>
      <c r="C37" s="162"/>
      <c r="D37" s="281" t="e">
        <f>VLOOKUP(C37,Уч!$A$2:$L$34,2,FALSE)</f>
        <v>#N/A</v>
      </c>
      <c r="E37" s="282" t="e">
        <f>VLOOKUP(C37,Уч!$A$2:$L$34,3,FALSE)</f>
        <v>#N/A</v>
      </c>
      <c r="F37" s="308" t="e">
        <f>VLOOKUP(C37,Уч!$A$2:$L$34,5,FALSE)</f>
        <v>#N/A</v>
      </c>
      <c r="G37" s="309">
        <f t="shared" ref="G37:G43" si="7">I37/100</f>
        <v>0</v>
      </c>
      <c r="H37" s="285">
        <f t="shared" ref="H37:H43" si="8">IF(I37&gt;8121,0,IF(I37=0,0,ROUNDDOWN(1.53775*(82-I37/100)^1.81,0)))</f>
        <v>0</v>
      </c>
      <c r="I37" s="310"/>
    </row>
    <row r="38" spans="1:10" s="280" customFormat="1" ht="13.2" customHeight="1" x14ac:dyDescent="0.35">
      <c r="A38" s="280">
        <f t="shared" ca="1" si="6"/>
        <v>0.29417553862579726</v>
      </c>
      <c r="B38" s="200">
        <v>2</v>
      </c>
      <c r="C38" s="162">
        <v>26</v>
      </c>
      <c r="D38" s="311" t="e">
        <f>VLOOKUP(C38,Уч!$A$2:$L$34,2,FALSE)</f>
        <v>#N/A</v>
      </c>
      <c r="E38" s="312" t="e">
        <f>VLOOKUP(C38,Уч!$A$2:$L$34,3,FALSE)</f>
        <v>#N/A</v>
      </c>
      <c r="F38" s="378" t="e">
        <f>VLOOKUP(C38,Уч!$A$2:$L$34,5,FALSE)</f>
        <v>#N/A</v>
      </c>
      <c r="G38" s="655">
        <f t="shared" si="7"/>
        <v>54.6</v>
      </c>
      <c r="H38" s="295">
        <f t="shared" si="8"/>
        <v>615</v>
      </c>
      <c r="I38" s="314">
        <v>5460</v>
      </c>
    </row>
    <row r="39" spans="1:10" s="280" customFormat="1" ht="13.2" customHeight="1" x14ac:dyDescent="0.35">
      <c r="A39" s="280">
        <f t="shared" ca="1" si="6"/>
        <v>0.94624903534641847</v>
      </c>
      <c r="B39" s="200">
        <v>3</v>
      </c>
      <c r="C39" s="162">
        <v>78</v>
      </c>
      <c r="D39" s="292" t="str">
        <f>VLOOKUP(C39,Уч!$A$2:$L$34,2,FALSE)</f>
        <v>Слаква Максим</v>
      </c>
      <c r="E39" s="293" t="str">
        <f>VLOOKUP(C39,Уч!$A$2:$L$34,3,FALSE)</f>
        <v>10.05.1998</v>
      </c>
      <c r="F39" s="378" t="str">
        <f>VLOOKUP(C39,Уч!$A$2:$L$34,5,FALSE)</f>
        <v xml:space="preserve">Ставропольский край  </v>
      </c>
      <c r="G39" s="655">
        <f t="shared" si="7"/>
        <v>50.5</v>
      </c>
      <c r="H39" s="295">
        <f t="shared" si="8"/>
        <v>792</v>
      </c>
      <c r="I39" s="297">
        <v>5050</v>
      </c>
    </row>
    <row r="40" spans="1:10" s="280" customFormat="1" ht="13.2" customHeight="1" x14ac:dyDescent="0.35">
      <c r="A40" s="280">
        <f t="shared" ca="1" si="6"/>
        <v>0.98672255062770153</v>
      </c>
      <c r="B40" s="200">
        <v>4</v>
      </c>
      <c r="C40" s="162">
        <v>35</v>
      </c>
      <c r="D40" s="292" t="e">
        <f>VLOOKUP(C40,Уч!$A$2:$L$34,2,FALSE)</f>
        <v>#N/A</v>
      </c>
      <c r="E40" s="293" t="e">
        <f>VLOOKUP(C40,Уч!$A$2:$L$34,3,FALSE)</f>
        <v>#N/A</v>
      </c>
      <c r="F40" s="378" t="e">
        <f>VLOOKUP(C40,Уч!$A$2:$L$34,5,FALSE)</f>
        <v>#N/A</v>
      </c>
      <c r="G40" s="655">
        <f t="shared" si="7"/>
        <v>51.77</v>
      </c>
      <c r="H40" s="295">
        <f t="shared" si="8"/>
        <v>735</v>
      </c>
      <c r="I40" s="296">
        <v>5177</v>
      </c>
    </row>
    <row r="41" spans="1:10" s="280" customFormat="1" ht="13.2" customHeight="1" x14ac:dyDescent="0.35">
      <c r="A41" s="280">
        <f t="shared" ca="1" si="6"/>
        <v>0.23837877514617178</v>
      </c>
      <c r="B41" s="200">
        <v>5</v>
      </c>
      <c r="C41" s="162">
        <v>50</v>
      </c>
      <c r="D41" s="292" t="e">
        <f>VLOOKUP(C41,Уч!$A$2:$L$34,2,FALSE)</f>
        <v>#N/A</v>
      </c>
      <c r="E41" s="293" t="e">
        <f>VLOOKUP(C41,Уч!$A$2:$L$34,3,FALSE)</f>
        <v>#N/A</v>
      </c>
      <c r="F41" s="378" t="e">
        <f>VLOOKUP(C41,Уч!$A$2:$L$34,5,FALSE)</f>
        <v>#N/A</v>
      </c>
      <c r="G41" s="655">
        <f t="shared" si="7"/>
        <v>50.95</v>
      </c>
      <c r="H41" s="295">
        <f t="shared" si="8"/>
        <v>771</v>
      </c>
      <c r="I41" s="296">
        <v>5095</v>
      </c>
    </row>
    <row r="42" spans="1:10" s="280" customFormat="1" ht="13.2" customHeight="1" x14ac:dyDescent="0.35">
      <c r="A42" s="280">
        <f t="shared" ca="1" si="6"/>
        <v>0.95946446391820883</v>
      </c>
      <c r="B42" s="200">
        <v>6</v>
      </c>
      <c r="C42" s="162">
        <v>44</v>
      </c>
      <c r="D42" s="292" t="str">
        <f>VLOOKUP(C42,Уч!$A$2:$L$34,2,FALSE)</f>
        <v>Хамедов Игорь</v>
      </c>
      <c r="E42" s="293" t="str">
        <f>VLOOKUP(C42,Уч!$A$2:$L$34,3,FALSE)</f>
        <v>30.05.1998</v>
      </c>
      <c r="F42" s="378" t="str">
        <f>VLOOKUP(C42,Уч!$A$2:$L$34,5,FALSE)</f>
        <v xml:space="preserve">Кемеровская область  </v>
      </c>
      <c r="G42" s="655">
        <f t="shared" si="7"/>
        <v>50.15</v>
      </c>
      <c r="H42" s="295">
        <f t="shared" si="8"/>
        <v>808</v>
      </c>
      <c r="I42" s="296">
        <v>5015</v>
      </c>
    </row>
    <row r="43" spans="1:10" s="280" customFormat="1" ht="13.2" customHeight="1" x14ac:dyDescent="0.35">
      <c r="A43" s="280">
        <f t="shared" ca="1" si="6"/>
        <v>5.4167267649419482E-2</v>
      </c>
      <c r="B43" s="200">
        <v>7</v>
      </c>
      <c r="C43" s="162">
        <v>40</v>
      </c>
      <c r="D43" s="292" t="str">
        <f>VLOOKUP(C43,Уч!$A$2:$L$34,2,FALSE)</f>
        <v>Черкасов Алексей</v>
      </c>
      <c r="E43" s="293" t="str">
        <f>VLOOKUP(C43,Уч!$A$2:$L$34,3,FALSE)</f>
        <v>22.10.1994</v>
      </c>
      <c r="F43" s="378" t="str">
        <f>VLOOKUP(C43,Уч!$A$2:$L$34,5,FALSE)</f>
        <v xml:space="preserve">Кемеровская область Санкт-Петербург </v>
      </c>
      <c r="G43" s="655">
        <f t="shared" si="7"/>
        <v>52.72</v>
      </c>
      <c r="H43" s="295">
        <f t="shared" si="8"/>
        <v>694</v>
      </c>
      <c r="I43" s="297">
        <v>5272</v>
      </c>
    </row>
    <row r="44" spans="1:10" s="280" customFormat="1" ht="13.2" customHeight="1" x14ac:dyDescent="0.35">
      <c r="A44" s="280">
        <f t="shared" ca="1" si="6"/>
        <v>0.19556436994112358</v>
      </c>
      <c r="B44" s="200">
        <v>8</v>
      </c>
      <c r="C44" s="162"/>
      <c r="D44" s="292"/>
      <c r="E44" s="293"/>
      <c r="F44" s="378"/>
      <c r="G44" s="309"/>
      <c r="H44" s="285"/>
      <c r="I44" s="296"/>
    </row>
    <row r="45" spans="1:10" ht="6" customHeight="1" x14ac:dyDescent="0.25">
      <c r="C45" s="182"/>
      <c r="D45" s="201"/>
      <c r="E45" s="201"/>
      <c r="F45" s="315"/>
      <c r="G45" s="201"/>
      <c r="H45" s="202"/>
      <c r="I45" s="145"/>
    </row>
    <row r="46" spans="1:10" x14ac:dyDescent="0.25">
      <c r="A46" s="148"/>
      <c r="B46" s="148"/>
      <c r="C46" s="178"/>
      <c r="D46" s="156" t="s">
        <v>99</v>
      </c>
      <c r="E46" s="316"/>
      <c r="F46" s="317"/>
      <c r="G46" s="318"/>
      <c r="H46" s="319"/>
      <c r="I46" s="320"/>
    </row>
    <row r="47" spans="1:10" x14ac:dyDescent="0.25">
      <c r="A47" s="41">
        <f t="shared" ref="A47:A54" ca="1" si="9">RAND()</f>
        <v>0.33037058130814279</v>
      </c>
      <c r="B47" s="220">
        <v>1</v>
      </c>
      <c r="C47" s="197"/>
      <c r="D47" s="321" t="e">
        <f>VLOOKUP(C47,Уч!$A$2:$L$34,2,FALSE)</f>
        <v>#N/A</v>
      </c>
      <c r="E47" s="322" t="e">
        <f>VLOOKUP(C47,Уч!$A$2:$L$34,3,FALSE)</f>
        <v>#N/A</v>
      </c>
      <c r="F47" s="323" t="e">
        <f>VLOOKUP(C47,Уч!$A$2:$L$34,5,FALSE)</f>
        <v>#N/A</v>
      </c>
      <c r="G47" s="324">
        <f t="shared" ref="G47:G54" si="10">I47/100</f>
        <v>0</v>
      </c>
      <c r="H47" s="247">
        <f t="shared" ref="H47:H54" si="11">IF(I47&gt;8121,0,IF(I47=0,0,ROUNDDOWN(1.53775*(82-I47/100)^1.81,0)))</f>
        <v>0</v>
      </c>
      <c r="I47" s="325"/>
    </row>
    <row r="48" spans="1:10" x14ac:dyDescent="0.25">
      <c r="A48" s="41">
        <f t="shared" ca="1" si="9"/>
        <v>0.1350489892454404</v>
      </c>
      <c r="B48" s="220">
        <v>2</v>
      </c>
      <c r="C48" s="162">
        <v>41</v>
      </c>
      <c r="D48" s="221" t="str">
        <f>VLOOKUP(C48,Уч!$A$2:$L$34,2,FALSE)</f>
        <v>Фомичев Андрей</v>
      </c>
      <c r="E48" s="222" t="str">
        <f>VLOOKUP(C48,Уч!$A$2:$L$34,3,FALSE)</f>
        <v>15.12.1996</v>
      </c>
      <c r="F48" s="223" t="str">
        <f>VLOOKUP(C48,Уч!$A$2:$L$34,5,FALSE)</f>
        <v xml:space="preserve">Кемеровская область  </v>
      </c>
      <c r="G48" s="605">
        <f t="shared" ref="G48" si="12">I48/100</f>
        <v>52.48</v>
      </c>
      <c r="H48" s="155">
        <f t="shared" ref="H48" si="13">IF(I48&gt;8121,0,IF(I48=0,0,ROUNDDOWN(1.53775*(82-I48/100)^1.81,0)))</f>
        <v>704</v>
      </c>
      <c r="I48" s="332">
        <v>5248</v>
      </c>
    </row>
    <row r="49" spans="1:9" x14ac:dyDescent="0.25">
      <c r="A49" s="41">
        <f t="shared" ca="1" si="9"/>
        <v>0.82695083290077331</v>
      </c>
      <c r="B49" s="220">
        <v>3</v>
      </c>
      <c r="C49" s="162">
        <v>39</v>
      </c>
      <c r="D49" s="221" t="str">
        <f>VLOOKUP(C49,Уч!$A$2:$L$34,2,FALSE)</f>
        <v>Левковский Андрей</v>
      </c>
      <c r="E49" s="222" t="str">
        <f>VLOOKUP(C49,Уч!$A$2:$L$34,3,FALSE)</f>
        <v>17.08.1997</v>
      </c>
      <c r="F49" s="223" t="str">
        <f>VLOOKUP(C49,Уч!$A$2:$L$34,5,FALSE)</f>
        <v xml:space="preserve">Кемеровская область  </v>
      </c>
      <c r="G49" s="605">
        <f t="shared" si="10"/>
        <v>49.03</v>
      </c>
      <c r="H49" s="155">
        <f t="shared" si="11"/>
        <v>860</v>
      </c>
      <c r="I49" s="332">
        <v>4903</v>
      </c>
    </row>
    <row r="50" spans="1:9" x14ac:dyDescent="0.25">
      <c r="A50" s="41">
        <f t="shared" ca="1" si="9"/>
        <v>1.807814811056041E-2</v>
      </c>
      <c r="B50" s="220">
        <v>4</v>
      </c>
      <c r="C50" s="162">
        <v>8</v>
      </c>
      <c r="D50" s="221" t="e">
        <f>VLOOKUP(C50,Уч!$A$2:$L$34,2,FALSE)</f>
        <v>#N/A</v>
      </c>
      <c r="E50" s="222" t="e">
        <f>VLOOKUP(C50,Уч!$A$2:$L$34,3,FALSE)</f>
        <v>#N/A</v>
      </c>
      <c r="F50" s="223" t="e">
        <f>VLOOKUP(C50,Уч!$A$2:$L$34,5,FALSE)</f>
        <v>#N/A</v>
      </c>
      <c r="G50" s="605">
        <f t="shared" si="10"/>
        <v>49.61</v>
      </c>
      <c r="H50" s="155">
        <f t="shared" si="11"/>
        <v>833</v>
      </c>
      <c r="I50" s="145">
        <v>4961</v>
      </c>
    </row>
    <row r="51" spans="1:9" x14ac:dyDescent="0.25">
      <c r="A51" s="41">
        <f t="shared" ca="1" si="9"/>
        <v>0.26087933379941874</v>
      </c>
      <c r="B51" s="220">
        <v>5</v>
      </c>
      <c r="C51" s="162">
        <v>29</v>
      </c>
      <c r="D51" s="221" t="e">
        <f>VLOOKUP(C51,Уч!$A$2:$L$34,2,FALSE)</f>
        <v>#N/A</v>
      </c>
      <c r="E51" s="222" t="e">
        <f>VLOOKUP(C51,Уч!$A$2:$L$34,3,FALSE)</f>
        <v>#N/A</v>
      </c>
      <c r="F51" s="223" t="e">
        <f>VLOOKUP(C51,Уч!$A$2:$L$34,5,FALSE)</f>
        <v>#N/A</v>
      </c>
      <c r="G51" s="605">
        <f t="shared" si="10"/>
        <v>50.57</v>
      </c>
      <c r="H51" s="155">
        <f t="shared" si="11"/>
        <v>789</v>
      </c>
      <c r="I51" s="332">
        <v>5057</v>
      </c>
    </row>
    <row r="52" spans="1:9" x14ac:dyDescent="0.25">
      <c r="A52" s="41">
        <f t="shared" ca="1" si="9"/>
        <v>7.9046293259042555E-2</v>
      </c>
      <c r="B52" s="220">
        <v>6</v>
      </c>
      <c r="C52" s="162">
        <v>54</v>
      </c>
      <c r="D52" s="221" t="e">
        <f>VLOOKUP(C52,Уч!$A$2:$L$34,2,FALSE)</f>
        <v>#N/A</v>
      </c>
      <c r="E52" s="222" t="e">
        <f>VLOOKUP(C52,Уч!$A$2:$L$34,3,FALSE)</f>
        <v>#N/A</v>
      </c>
      <c r="F52" s="223" t="e">
        <f>VLOOKUP(C52,Уч!$A$2:$L$34,5,FALSE)</f>
        <v>#N/A</v>
      </c>
      <c r="G52" s="605">
        <f t="shared" si="10"/>
        <v>48.99</v>
      </c>
      <c r="H52" s="155">
        <f t="shared" si="11"/>
        <v>862</v>
      </c>
      <c r="I52" s="145">
        <v>4899</v>
      </c>
    </row>
    <row r="53" spans="1:9" x14ac:dyDescent="0.25">
      <c r="A53" s="41">
        <f t="shared" ca="1" si="9"/>
        <v>0.94126758361139706</v>
      </c>
      <c r="B53" s="220">
        <v>7</v>
      </c>
      <c r="C53" s="162">
        <v>2</v>
      </c>
      <c r="D53" s="221" t="str">
        <f>VLOOKUP(C53,Уч!$A$2:$L$34,2,FALSE)</f>
        <v>Игнашев Владимир</v>
      </c>
      <c r="E53" s="222" t="str">
        <f>VLOOKUP(C53,Уч!$A$2:$L$34,3,FALSE)</f>
        <v>05.10.1996</v>
      </c>
      <c r="F53" s="223" t="str">
        <f>VLOOKUP(C53,Уч!$A$2:$L$34,5,FALSE)</f>
        <v xml:space="preserve">Ростовская область  </v>
      </c>
      <c r="G53" s="605">
        <f t="shared" si="10"/>
        <v>49.89</v>
      </c>
      <c r="H53" s="155">
        <f t="shared" si="11"/>
        <v>820</v>
      </c>
      <c r="I53" s="332">
        <v>4989</v>
      </c>
    </row>
    <row r="54" spans="1:9" x14ac:dyDescent="0.25">
      <c r="A54" s="41">
        <f t="shared" ca="1" si="9"/>
        <v>0.71674749601641241</v>
      </c>
      <c r="B54" s="220">
        <v>8</v>
      </c>
      <c r="C54" s="162"/>
      <c r="D54" s="221"/>
      <c r="E54" s="222"/>
      <c r="F54" s="223"/>
      <c r="G54" s="324">
        <f t="shared" si="10"/>
        <v>0</v>
      </c>
      <c r="H54" s="247">
        <f t="shared" si="11"/>
        <v>0</v>
      </c>
      <c r="I54" s="145"/>
    </row>
    <row r="55" spans="1:9" x14ac:dyDescent="0.25">
      <c r="B55" s="575"/>
      <c r="C55" s="549"/>
      <c r="D55" s="576"/>
      <c r="E55" s="577"/>
      <c r="F55" s="578"/>
      <c r="G55" s="585"/>
      <c r="H55" s="586"/>
      <c r="I55" s="145"/>
    </row>
    <row r="56" spans="1:9" ht="16.05" customHeight="1" x14ac:dyDescent="0.25">
      <c r="B56" s="557" t="s">
        <v>325</v>
      </c>
      <c r="C56" s="549"/>
      <c r="D56" s="576"/>
      <c r="E56" s="577"/>
      <c r="F56" s="578"/>
      <c r="G56" s="585"/>
      <c r="H56" s="586"/>
      <c r="I56" s="145"/>
    </row>
    <row r="57" spans="1:9" ht="16.05" customHeight="1" x14ac:dyDescent="0.25">
      <c r="B57" s="557" t="s">
        <v>326</v>
      </c>
      <c r="C57" s="549"/>
      <c r="D57" s="576"/>
      <c r="E57" s="577"/>
      <c r="F57" s="578"/>
      <c r="G57" s="585"/>
      <c r="H57" s="586"/>
      <c r="I57" s="145"/>
    </row>
    <row r="58" spans="1:9" ht="16.05" customHeight="1" x14ac:dyDescent="0.25">
      <c r="B58" s="557" t="s">
        <v>327</v>
      </c>
      <c r="C58" s="182"/>
      <c r="D58" s="201"/>
      <c r="E58" s="201"/>
      <c r="F58" s="315"/>
      <c r="G58" s="201"/>
      <c r="H58" s="202"/>
      <c r="I58" s="145"/>
    </row>
    <row r="59" spans="1:9" x14ac:dyDescent="0.25">
      <c r="A59" s="148"/>
      <c r="B59" s="148"/>
      <c r="C59" s="178"/>
      <c r="D59" s="156" t="s">
        <v>126</v>
      </c>
      <c r="E59" s="316"/>
      <c r="F59" s="317"/>
      <c r="G59" s="318"/>
      <c r="H59" s="319"/>
      <c r="I59" s="320"/>
    </row>
    <row r="60" spans="1:9" x14ac:dyDescent="0.25">
      <c r="A60" s="41">
        <f t="shared" ref="A60:A67" ca="1" si="14">RAND()</f>
        <v>0.91733217662558597</v>
      </c>
      <c r="B60" s="220">
        <v>1</v>
      </c>
      <c r="C60" s="197"/>
      <c r="D60" s="321" t="e">
        <f>VLOOKUP(C60,Уч!$A$2:$L$34,2,FALSE)</f>
        <v>#N/A</v>
      </c>
      <c r="E60" s="322" t="e">
        <f>VLOOKUP(C60,Уч!$A$2:$L$34,3,FALSE)</f>
        <v>#N/A</v>
      </c>
      <c r="F60" s="323" t="e">
        <f>VLOOKUP(C60,Уч!$A$2:$L$34,5,FALSE)</f>
        <v>#N/A</v>
      </c>
      <c r="G60" s="324">
        <f t="shared" ref="G60:G67" si="15">I60/100</f>
        <v>0</v>
      </c>
      <c r="H60" s="247">
        <f t="shared" ref="H60:H67" si="16">IF(I60&gt;8121,0,IF(I60=0,0,ROUNDDOWN(1.53775*(82-I60/100)^1.81,0)))</f>
        <v>0</v>
      </c>
      <c r="I60" s="325"/>
    </row>
    <row r="61" spans="1:9" x14ac:dyDescent="0.25">
      <c r="A61" s="41">
        <f t="shared" ca="1" si="14"/>
        <v>0.59101645021568949</v>
      </c>
      <c r="B61" s="220">
        <v>2</v>
      </c>
      <c r="C61" s="162"/>
      <c r="D61" s="326" t="e">
        <f>VLOOKUP(C61,Уч!$A$2:$L$34,2,FALSE)</f>
        <v>#N/A</v>
      </c>
      <c r="E61" s="327" t="e">
        <f>VLOOKUP(C61,Уч!$A$2:$L$34,3,FALSE)</f>
        <v>#N/A</v>
      </c>
      <c r="F61" s="328" t="e">
        <f>VLOOKUP(C61,Уч!$A$2:$L$34,5,FALSE)</f>
        <v>#N/A</v>
      </c>
      <c r="G61" s="329">
        <f t="shared" si="15"/>
        <v>0</v>
      </c>
      <c r="H61" s="247">
        <f t="shared" si="16"/>
        <v>0</v>
      </c>
      <c r="I61" s="330"/>
    </row>
    <row r="62" spans="1:9" x14ac:dyDescent="0.25">
      <c r="A62" s="41">
        <f t="shared" ca="1" si="14"/>
        <v>0.5795192427344098</v>
      </c>
      <c r="B62" s="220">
        <v>3</v>
      </c>
      <c r="C62" s="182"/>
      <c r="D62" s="221" t="e">
        <f>VLOOKUP(C62,Уч!$A$2:$L$34,2,FALSE)</f>
        <v>#N/A</v>
      </c>
      <c r="E62" s="222" t="e">
        <f>VLOOKUP(C62,Уч!$A$2:$L$34,3,FALSE)</f>
        <v>#N/A</v>
      </c>
      <c r="F62" s="331" t="e">
        <f>VLOOKUP(C62,Уч!$A$2:$L$34,5,FALSE)</f>
        <v>#N/A</v>
      </c>
      <c r="G62" s="246">
        <f t="shared" si="15"/>
        <v>0</v>
      </c>
      <c r="H62" s="247">
        <f t="shared" si="16"/>
        <v>0</v>
      </c>
      <c r="I62" s="332"/>
    </row>
    <row r="63" spans="1:9" x14ac:dyDescent="0.25">
      <c r="A63" s="41">
        <f t="shared" ca="1" si="14"/>
        <v>0.4570970017212852</v>
      </c>
      <c r="B63" s="220">
        <v>4</v>
      </c>
      <c r="C63" s="162"/>
      <c r="D63" s="221" t="e">
        <f>VLOOKUP(C63,Уч!$A$2:$L$34,2,FALSE)</f>
        <v>#N/A</v>
      </c>
      <c r="E63" s="222" t="e">
        <f>VLOOKUP(C63,Уч!$A$2:$L$34,3,FALSE)</f>
        <v>#N/A</v>
      </c>
      <c r="F63" s="331" t="e">
        <f>VLOOKUP(C63,Уч!$A$2:$L$34,5,FALSE)</f>
        <v>#N/A</v>
      </c>
      <c r="G63" s="246">
        <f t="shared" si="15"/>
        <v>0</v>
      </c>
      <c r="H63" s="247">
        <f t="shared" si="16"/>
        <v>0</v>
      </c>
      <c r="I63" s="145"/>
    </row>
    <row r="64" spans="1:9" x14ac:dyDescent="0.25">
      <c r="A64" s="41">
        <f t="shared" ca="1" si="14"/>
        <v>0.7514260943936405</v>
      </c>
      <c r="B64" s="220">
        <v>5</v>
      </c>
      <c r="C64" s="162"/>
      <c r="D64" s="221" t="e">
        <f>VLOOKUP(C64,Уч!$A$2:$L$34,2,FALSE)</f>
        <v>#N/A</v>
      </c>
      <c r="E64" s="222" t="e">
        <f>VLOOKUP(C64,Уч!$A$2:$L$34,3,FALSE)</f>
        <v>#N/A</v>
      </c>
      <c r="F64" s="331" t="e">
        <f>VLOOKUP(C64,Уч!$A$2:$L$34,5,FALSE)</f>
        <v>#N/A</v>
      </c>
      <c r="G64" s="246">
        <f t="shared" si="15"/>
        <v>0</v>
      </c>
      <c r="H64" s="247">
        <f t="shared" si="16"/>
        <v>0</v>
      </c>
      <c r="I64" s="332"/>
    </row>
    <row r="65" spans="1:9" x14ac:dyDescent="0.25">
      <c r="A65" s="41">
        <f t="shared" ca="1" si="14"/>
        <v>2.767160992905604E-2</v>
      </c>
      <c r="B65" s="220">
        <v>6</v>
      </c>
      <c r="C65" s="162"/>
      <c r="D65" s="221" t="e">
        <f>VLOOKUP(C65,Уч!$A$2:$L$34,2,FALSE)</f>
        <v>#N/A</v>
      </c>
      <c r="E65" s="222" t="e">
        <f>VLOOKUP(C65,Уч!$A$2:$L$34,3,FALSE)</f>
        <v>#N/A</v>
      </c>
      <c r="F65" s="331" t="e">
        <f>VLOOKUP(C65,Уч!$A$2:$L$34,5,FALSE)</f>
        <v>#N/A</v>
      </c>
      <c r="G65" s="246">
        <f t="shared" si="15"/>
        <v>0</v>
      </c>
      <c r="H65" s="247">
        <f t="shared" si="16"/>
        <v>0</v>
      </c>
      <c r="I65" s="145"/>
    </row>
    <row r="66" spans="1:9" x14ac:dyDescent="0.25">
      <c r="A66" s="41">
        <f t="shared" ca="1" si="14"/>
        <v>0.34505407935560195</v>
      </c>
      <c r="B66" s="220">
        <v>7</v>
      </c>
      <c r="C66" s="162"/>
      <c r="D66" s="221" t="e">
        <f>VLOOKUP(C66,Уч!$A$2:$L$34,2,FALSE)</f>
        <v>#N/A</v>
      </c>
      <c r="E66" s="222" t="e">
        <f>VLOOKUP(C66,Уч!$A$2:$L$34,3,FALSE)</f>
        <v>#N/A</v>
      </c>
      <c r="F66" s="331" t="e">
        <f>VLOOKUP(C66,Уч!$A$2:$L$34,5,FALSE)</f>
        <v>#N/A</v>
      </c>
      <c r="G66" s="246">
        <f t="shared" si="15"/>
        <v>0</v>
      </c>
      <c r="H66" s="247">
        <f t="shared" si="16"/>
        <v>0</v>
      </c>
      <c r="I66" s="332"/>
    </row>
    <row r="67" spans="1:9" x14ac:dyDescent="0.25">
      <c r="A67" s="41">
        <f t="shared" ca="1" si="14"/>
        <v>0.9543466066165246</v>
      </c>
      <c r="B67" s="220">
        <v>8</v>
      </c>
      <c r="C67" s="177"/>
      <c r="D67" s="321" t="e">
        <f>VLOOKUP(C67,Уч!$A$2:$L$34,2,FALSE)</f>
        <v>#N/A</v>
      </c>
      <c r="E67" s="322" t="e">
        <f>VLOOKUP(C67,Уч!$A$2:$L$34,3,FALSE)</f>
        <v>#N/A</v>
      </c>
      <c r="F67" s="333" t="e">
        <f>VLOOKUP(C67,Уч!$A$2:$L$34,5,FALSE)</f>
        <v>#N/A</v>
      </c>
      <c r="G67" s="246">
        <f t="shared" si="15"/>
        <v>0</v>
      </c>
      <c r="H67" s="247">
        <f t="shared" si="16"/>
        <v>0</v>
      </c>
      <c r="I67" s="145"/>
    </row>
    <row r="68" spans="1:9" x14ac:dyDescent="0.25">
      <c r="C68" s="182"/>
      <c r="I68" s="145"/>
    </row>
    <row r="69" spans="1:9" x14ac:dyDescent="0.25">
      <c r="C69" s="178"/>
      <c r="I69" s="320"/>
    </row>
    <row r="70" spans="1:9" x14ac:dyDescent="0.25">
      <c r="C70" s="197"/>
      <c r="I70" s="320"/>
    </row>
    <row r="71" spans="1:9" x14ac:dyDescent="0.25">
      <c r="C71" s="162">
        <v>52</v>
      </c>
      <c r="I71" s="320"/>
    </row>
    <row r="72" spans="1:9" x14ac:dyDescent="0.25">
      <c r="C72" s="182">
        <v>13</v>
      </c>
    </row>
    <row r="73" spans="1:9" x14ac:dyDescent="0.25">
      <c r="C73" s="162">
        <v>32</v>
      </c>
    </row>
    <row r="74" spans="1:9" x14ac:dyDescent="0.25">
      <c r="C74" s="162">
        <v>25</v>
      </c>
    </row>
    <row r="75" spans="1:9" x14ac:dyDescent="0.25">
      <c r="A75" s="148">
        <f t="shared" ref="A75:A89" ca="1" si="17">RAND()</f>
        <v>0.14269117971756329</v>
      </c>
      <c r="C75" s="162">
        <v>24</v>
      </c>
      <c r="D75" s="230"/>
    </row>
    <row r="76" spans="1:9" x14ac:dyDescent="0.25">
      <c r="A76" s="148">
        <f t="shared" ca="1" si="17"/>
        <v>0.55957628122330794</v>
      </c>
      <c r="C76" s="162">
        <v>53</v>
      </c>
      <c r="D76" s="221"/>
      <c r="E76" s="231"/>
    </row>
    <row r="77" spans="1:9" x14ac:dyDescent="0.25">
      <c r="A77" s="148">
        <f t="shared" ca="1" si="17"/>
        <v>0.91246813795514981</v>
      </c>
      <c r="C77" s="177">
        <v>1385</v>
      </c>
      <c r="D77" s="221"/>
      <c r="E77" s="334"/>
    </row>
    <row r="78" spans="1:9" x14ac:dyDescent="0.25">
      <c r="A78" s="148">
        <f t="shared" ca="1" si="17"/>
        <v>0.60868214152448918</v>
      </c>
      <c r="C78" s="200">
        <v>557</v>
      </c>
      <c r="D78" s="200"/>
    </row>
    <row r="79" spans="1:9" x14ac:dyDescent="0.25">
      <c r="A79" s="148">
        <f t="shared" ca="1" si="17"/>
        <v>0.29441972231135061</v>
      </c>
      <c r="C79" s="200">
        <v>511</v>
      </c>
      <c r="D79" s="335"/>
    </row>
    <row r="80" spans="1:9" x14ac:dyDescent="0.25">
      <c r="A80" s="148">
        <f t="shared" ca="1" si="17"/>
        <v>0.37323327535744688</v>
      </c>
      <c r="C80" s="336">
        <v>561</v>
      </c>
      <c r="E80" s="337"/>
    </row>
    <row r="81" spans="1:5" x14ac:dyDescent="0.25">
      <c r="A81" s="148">
        <f t="shared" ca="1" si="17"/>
        <v>0.77546944899879766</v>
      </c>
      <c r="C81" s="335">
        <v>556</v>
      </c>
      <c r="D81" s="231"/>
      <c r="E81" s="221"/>
    </row>
    <row r="82" spans="1:5" x14ac:dyDescent="0.25">
      <c r="A82" s="148">
        <f t="shared" ca="1" si="17"/>
        <v>0.84475059269342123</v>
      </c>
      <c r="C82" s="200">
        <v>517</v>
      </c>
      <c r="E82" s="230"/>
    </row>
    <row r="83" spans="1:5" x14ac:dyDescent="0.25">
      <c r="A83" s="148">
        <f t="shared" ca="1" si="17"/>
        <v>0.62763114005775211</v>
      </c>
      <c r="C83" s="337">
        <v>541</v>
      </c>
      <c r="D83" s="231"/>
      <c r="E83" s="221"/>
    </row>
    <row r="84" spans="1:5" x14ac:dyDescent="0.25">
      <c r="A84" s="148">
        <f t="shared" ca="1" si="17"/>
        <v>0.68301022893972541</v>
      </c>
      <c r="C84" s="200">
        <v>543</v>
      </c>
      <c r="D84" s="334"/>
      <c r="E84" s="221"/>
    </row>
    <row r="85" spans="1:5" x14ac:dyDescent="0.25">
      <c r="A85" s="148">
        <f t="shared" ca="1" si="17"/>
        <v>0.96250977376716074</v>
      </c>
      <c r="C85" s="200">
        <v>510</v>
      </c>
      <c r="D85" s="335"/>
    </row>
    <row r="86" spans="1:5" x14ac:dyDescent="0.25">
      <c r="A86" s="148">
        <f t="shared" ca="1" si="17"/>
        <v>0.41673826729087438</v>
      </c>
      <c r="C86" s="335">
        <v>518</v>
      </c>
      <c r="D86" s="200"/>
    </row>
    <row r="87" spans="1:5" x14ac:dyDescent="0.25">
      <c r="A87" s="148">
        <f t="shared" ca="1" si="17"/>
        <v>0.22010368767029687</v>
      </c>
      <c r="C87" s="200">
        <v>580</v>
      </c>
      <c r="D87" s="200"/>
    </row>
    <row r="88" spans="1:5" x14ac:dyDescent="0.25">
      <c r="A88" s="148">
        <f t="shared" ca="1" si="17"/>
        <v>0.38918953434683756</v>
      </c>
      <c r="C88" s="200">
        <v>595</v>
      </c>
      <c r="D88" s="200"/>
    </row>
    <row r="89" spans="1:5" x14ac:dyDescent="0.25">
      <c r="A89" s="148">
        <f t="shared" ca="1" si="17"/>
        <v>0.90789810775968405</v>
      </c>
      <c r="C89" s="338">
        <v>537</v>
      </c>
      <c r="D89" s="221"/>
      <c r="E89" s="231"/>
    </row>
    <row r="90" spans="1:5" x14ac:dyDescent="0.25">
      <c r="A90" s="148"/>
      <c r="D90" s="339"/>
    </row>
  </sheetData>
  <sortState ref="A18:U22">
    <sortCondition ref="A18:A22"/>
  </sortState>
  <mergeCells count="7">
    <mergeCell ref="B7:H7"/>
    <mergeCell ref="B1:H1"/>
    <mergeCell ref="B2:H2"/>
    <mergeCell ref="B3:H3"/>
    <mergeCell ref="B4:H4"/>
    <mergeCell ref="B5:H5"/>
    <mergeCell ref="B6:H6"/>
  </mergeCells>
  <phoneticPr fontId="0" type="noConversion"/>
  <printOptions horizontalCentered="1"/>
  <pageMargins left="0.78740157480314965" right="0.59055118110236227" top="0.78740157480314965" bottom="0.78740157480314965" header="0.51181102362204722" footer="0.70866141732283472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H67"/>
  <sheetViews>
    <sheetView view="pageBreakPreview" topLeftCell="B32" zoomScaleSheetLayoutView="100" workbookViewId="0">
      <selection activeCell="B56" sqref="B56:B58"/>
    </sheetView>
  </sheetViews>
  <sheetFormatPr defaultColWidth="9.109375" defaultRowHeight="13.2" outlineLevelRow="1" outlineLevelCol="1" x14ac:dyDescent="0.25"/>
  <cols>
    <col min="1" max="1" width="12" style="41" hidden="1" customWidth="1" outlineLevel="1"/>
    <col min="2" max="2" width="5.77734375" style="41" customWidth="1" collapsed="1"/>
    <col min="3" max="3" width="5.109375" style="148" customWidth="1"/>
    <col min="4" max="4" width="22.33203125" style="41" customWidth="1"/>
    <col min="5" max="5" width="8.88671875" style="41" customWidth="1"/>
    <col min="6" max="6" width="23.6640625" style="41" customWidth="1"/>
    <col min="7" max="7" width="10.88671875" style="41" customWidth="1"/>
    <col min="8" max="8" width="6.109375" style="41" customWidth="1"/>
    <col min="9" max="9" width="5.6640625" style="149" bestFit="1" customWidth="1"/>
    <col min="10" max="10" width="9.88671875" style="41" bestFit="1" customWidth="1"/>
    <col min="11" max="11" width="9.109375" style="41" outlineLevel="1"/>
    <col min="12" max="12" width="9.109375" style="148" outlineLevel="1"/>
    <col min="13" max="16384" width="9.109375" style="41"/>
  </cols>
  <sheetData>
    <row r="1" spans="1:12" ht="13.2" customHeight="1" x14ac:dyDescent="0.25">
      <c r="B1" s="805" t="str">
        <f>Расп!A21</f>
        <v>МИНИСТЕРСТВО СПОРТА РОССИЙСКОЙ ФЕДЕРАЦИИ</v>
      </c>
      <c r="C1" s="805"/>
      <c r="D1" s="805"/>
      <c r="E1" s="805"/>
      <c r="F1" s="805"/>
      <c r="G1" s="805"/>
      <c r="H1" s="805"/>
      <c r="K1" s="145"/>
      <c r="L1" s="146"/>
    </row>
    <row r="2" spans="1:12" ht="13.2" customHeight="1" x14ac:dyDescent="0.25">
      <c r="B2" s="805" t="str">
        <f>Расп!A22</f>
        <v>ВСЕРОССИЙСКАЯ ФЕДЕРАЦИЯ ЛЕГКОЙ АТЛЕТИКИ</v>
      </c>
      <c r="C2" s="805"/>
      <c r="D2" s="805"/>
      <c r="E2" s="805"/>
      <c r="F2" s="805"/>
      <c r="G2" s="805"/>
      <c r="H2" s="805"/>
      <c r="K2" s="145"/>
      <c r="L2" s="146"/>
    </row>
    <row r="3" spans="1:12" ht="13.2" customHeight="1" x14ac:dyDescent="0.25">
      <c r="B3" s="805" t="str">
        <f>Расп!A25</f>
        <v>Командный чемпионат России</v>
      </c>
      <c r="C3" s="805"/>
      <c r="D3" s="805"/>
      <c r="E3" s="805"/>
      <c r="F3" s="805"/>
      <c r="G3" s="805"/>
      <c r="H3" s="805"/>
      <c r="K3" s="145"/>
      <c r="L3" s="146"/>
    </row>
    <row r="4" spans="1:12" ht="13.2" customHeight="1" x14ac:dyDescent="0.25">
      <c r="B4" s="802" t="str">
        <f>Расп!A27</f>
        <v>по многоборью</v>
      </c>
      <c r="C4" s="802"/>
      <c r="D4" s="802"/>
      <c r="E4" s="802"/>
      <c r="F4" s="802"/>
      <c r="G4" s="802"/>
      <c r="H4" s="802"/>
      <c r="K4" s="145"/>
      <c r="L4" s="146"/>
    </row>
    <row r="5" spans="1:12" ht="13.2" customHeight="1" x14ac:dyDescent="0.25">
      <c r="B5" s="802" t="str">
        <f>Расп!A28</f>
        <v>Мужчины</v>
      </c>
      <c r="C5" s="802"/>
      <c r="D5" s="802"/>
      <c r="E5" s="802"/>
      <c r="F5" s="802"/>
      <c r="G5" s="802"/>
      <c r="H5" s="802"/>
      <c r="K5" s="145"/>
      <c r="L5" s="146"/>
    </row>
    <row r="6" spans="1:12" ht="13.2" customHeight="1" x14ac:dyDescent="0.25">
      <c r="B6" s="801" t="s">
        <v>12</v>
      </c>
      <c r="C6" s="801"/>
      <c r="D6" s="801"/>
      <c r="E6" s="801"/>
      <c r="F6" s="801"/>
      <c r="G6" s="801"/>
      <c r="H6" s="801"/>
      <c r="K6" s="145"/>
      <c r="L6" s="146"/>
    </row>
    <row r="7" spans="1:12" ht="13.2" customHeight="1" x14ac:dyDescent="0.25">
      <c r="B7" s="801" t="str">
        <f>Расп!A8</f>
        <v>бег с барьерами 110 м (1,067 м)</v>
      </c>
      <c r="C7" s="801"/>
      <c r="D7" s="801"/>
      <c r="E7" s="801"/>
      <c r="F7" s="801"/>
      <c r="G7" s="801"/>
      <c r="H7" s="801"/>
      <c r="K7" s="145"/>
      <c r="L7" s="146"/>
    </row>
    <row r="8" spans="1:12" ht="13.2" hidden="1" customHeight="1" x14ac:dyDescent="0.3">
      <c r="C8" s="151"/>
      <c r="D8" s="148"/>
      <c r="G8" s="150"/>
      <c r="K8" s="145"/>
      <c r="L8" s="146"/>
    </row>
    <row r="9" spans="1:12" ht="13.2" hidden="1" customHeight="1" x14ac:dyDescent="0.25">
      <c r="C9" s="147"/>
      <c r="D9" s="38"/>
      <c r="G9" s="150"/>
      <c r="H9" s="150"/>
      <c r="K9" s="152" t="s">
        <v>22</v>
      </c>
      <c r="L9" s="146"/>
    </row>
    <row r="10" spans="1:12" ht="13.2" hidden="1" customHeight="1" outlineLevel="1" x14ac:dyDescent="0.3">
      <c r="C10" s="153"/>
      <c r="D10" s="148"/>
      <c r="E10" s="148"/>
      <c r="F10" s="151"/>
      <c r="G10" s="150"/>
      <c r="H10" s="212" t="str">
        <f>Расп!A1</f>
        <v>04.09.2019 г.</v>
      </c>
      <c r="K10" s="152" t="s">
        <v>23</v>
      </c>
      <c r="L10" s="146"/>
    </row>
    <row r="11" spans="1:12" ht="13.2" hidden="1" customHeight="1" x14ac:dyDescent="0.3">
      <c r="C11" s="153"/>
      <c r="D11" s="148"/>
      <c r="E11" s="148"/>
      <c r="K11" s="152" t="s">
        <v>24</v>
      </c>
      <c r="L11" s="146"/>
    </row>
    <row r="12" spans="1:12" ht="13.2" customHeight="1" outlineLevel="1" x14ac:dyDescent="0.3">
      <c r="B12" s="203" t="str">
        <f>Расп!A7</f>
        <v>19.05.2019 г.</v>
      </c>
      <c r="C12" s="153"/>
      <c r="D12" s="148"/>
      <c r="E12" s="148"/>
      <c r="F12" s="607"/>
      <c r="G12" s="276" t="str">
        <f>Расп!B1</f>
        <v>Начало:</v>
      </c>
      <c r="H12" s="207">
        <f>Расп!B8</f>
        <v>0.41666666666666669</v>
      </c>
      <c r="K12" s="145"/>
      <c r="L12" s="146"/>
    </row>
    <row r="13" spans="1:12" ht="13.2" customHeight="1" x14ac:dyDescent="0.3">
      <c r="B13" s="41" t="str">
        <f>Расп!A26</f>
        <v>г.Сочи, Адлерский район, стадион "Юность"</v>
      </c>
      <c r="C13" s="153"/>
      <c r="D13" s="148"/>
      <c r="E13" s="148"/>
      <c r="G13" s="276" t="str">
        <f>Расп!C1</f>
        <v>Окончание:</v>
      </c>
      <c r="K13" s="145"/>
      <c r="L13" s="146"/>
    </row>
    <row r="14" spans="1:12" s="156" customFormat="1" ht="13.2" customHeight="1" x14ac:dyDescent="0.25">
      <c r="A14" s="154" t="s">
        <v>67</v>
      </c>
      <c r="B14" s="249" t="s">
        <v>259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 t="s">
        <v>19</v>
      </c>
      <c r="H14" s="154" t="s">
        <v>25</v>
      </c>
      <c r="I14" s="155" t="s">
        <v>29</v>
      </c>
      <c r="K14" s="152" t="s">
        <v>28</v>
      </c>
      <c r="L14" s="152" t="s">
        <v>25</v>
      </c>
    </row>
    <row r="15" spans="1:12" s="156" customFormat="1" ht="13.2" hidden="1" customHeight="1" x14ac:dyDescent="0.25">
      <c r="I15" s="157"/>
      <c r="K15" s="152"/>
      <c r="L15" s="152"/>
    </row>
    <row r="16" spans="1:12" s="340" customFormat="1" ht="13.2" customHeight="1" x14ac:dyDescent="0.35">
      <c r="D16" s="340" t="s">
        <v>21</v>
      </c>
      <c r="I16" s="341"/>
      <c r="K16" s="342"/>
      <c r="L16" s="342"/>
    </row>
    <row r="17" spans="1:20" s="340" customFormat="1" ht="13.2" customHeight="1" x14ac:dyDescent="0.35">
      <c r="A17" s="161">
        <f t="shared" ref="A17:A24" ca="1" si="0">RAND()</f>
        <v>0.8259731413918795</v>
      </c>
      <c r="B17" s="162">
        <v>1</v>
      </c>
      <c r="C17" s="162"/>
      <c r="D17" s="163" t="e">
        <f>VLOOKUP(C17,Уч!$A$2:$L$34,2,FALSE)</f>
        <v>#N/A</v>
      </c>
      <c r="E17" s="343" t="e">
        <f>VLOOKUP(C17,Уч!$A$2:$L$34,3,FALSE)</f>
        <v>#N/A</v>
      </c>
      <c r="F17" s="638" t="e">
        <f>VLOOKUP(C17,Уч!$A$2:$L$34,5,FALSE)</f>
        <v>#N/A</v>
      </c>
      <c r="G17" s="548">
        <f t="shared" ref="G17:G24" si="1">K17/100</f>
        <v>0</v>
      </c>
      <c r="H17" s="167">
        <f t="shared" ref="H17:H24" si="2">L17/10</f>
        <v>0</v>
      </c>
      <c r="I17" s="168">
        <f t="shared" ref="I17:I24" si="3">IF(K17&gt;2809,0,IF(K17=0,0,ROUNDDOWN(5.74352*(28.5-K17/100)^1.92,0)))</f>
        <v>0</v>
      </c>
      <c r="J17" s="161"/>
      <c r="K17" s="170"/>
      <c r="L17" s="344"/>
      <c r="M17" s="161"/>
      <c r="N17" s="161"/>
      <c r="O17" s="161"/>
      <c r="P17" s="161"/>
      <c r="Q17" s="161"/>
      <c r="R17" s="161"/>
      <c r="S17" s="161"/>
      <c r="T17" s="161"/>
    </row>
    <row r="18" spans="1:20" s="161" customFormat="1" ht="13.2" customHeight="1" x14ac:dyDescent="0.35">
      <c r="A18" s="161">
        <f t="shared" ca="1" si="0"/>
        <v>1.5604669740999833E-2</v>
      </c>
      <c r="B18" s="162">
        <v>2</v>
      </c>
      <c r="C18" s="162"/>
      <c r="D18" s="171"/>
      <c r="E18" s="345"/>
      <c r="F18" s="639"/>
      <c r="G18" s="641">
        <f t="shared" si="1"/>
        <v>0</v>
      </c>
      <c r="H18" s="642">
        <f t="shared" si="2"/>
        <v>0</v>
      </c>
      <c r="I18" s="176">
        <f t="shared" si="3"/>
        <v>0</v>
      </c>
      <c r="K18" s="170"/>
      <c r="L18" s="344"/>
    </row>
    <row r="19" spans="1:20" s="161" customFormat="1" ht="13.2" customHeight="1" x14ac:dyDescent="0.35">
      <c r="A19" s="161">
        <f t="shared" ca="1" si="0"/>
        <v>0.22197693997941814</v>
      </c>
      <c r="B19" s="162">
        <v>3</v>
      </c>
      <c r="C19" s="162">
        <v>56</v>
      </c>
      <c r="D19" s="171" t="e">
        <f>VLOOKUP(C19,Уч!$A$2:$L$34,2,FALSE)</f>
        <v>#N/A</v>
      </c>
      <c r="E19" s="345" t="e">
        <f>VLOOKUP(C19,Уч!$A$2:$L$34,3,FALSE)</f>
        <v>#N/A</v>
      </c>
      <c r="F19" s="639" t="e">
        <f>VLOOKUP(C19,Уч!$A$2:$L$34,5,FALSE)</f>
        <v>#N/A</v>
      </c>
      <c r="G19" s="604">
        <f t="shared" si="1"/>
        <v>0</v>
      </c>
      <c r="H19" s="175">
        <f t="shared" si="2"/>
        <v>0</v>
      </c>
      <c r="I19" s="176">
        <f t="shared" si="3"/>
        <v>0</v>
      </c>
      <c r="J19" s="161" t="s">
        <v>338</v>
      </c>
      <c r="K19" s="170"/>
      <c r="L19" s="344">
        <v>0</v>
      </c>
    </row>
    <row r="20" spans="1:20" s="161" customFormat="1" ht="13.2" customHeight="1" x14ac:dyDescent="0.35">
      <c r="A20" s="161">
        <f t="shared" ca="1" si="0"/>
        <v>0.83541361377465495</v>
      </c>
      <c r="B20" s="162">
        <v>4</v>
      </c>
      <c r="C20" s="162">
        <v>24</v>
      </c>
      <c r="D20" s="171" t="e">
        <f>VLOOKUP(C20,Уч!$A$2:$L$34,2,FALSE)</f>
        <v>#N/A</v>
      </c>
      <c r="E20" s="345" t="e">
        <f>VLOOKUP(C20,Уч!$A$2:$L$34,3,FALSE)</f>
        <v>#N/A</v>
      </c>
      <c r="F20" s="640" t="e">
        <f>VLOOKUP(C20,Уч!$A$2:$L$34,5,FALSE)</f>
        <v>#N/A</v>
      </c>
      <c r="G20" s="604">
        <f t="shared" si="1"/>
        <v>17.36</v>
      </c>
      <c r="H20" s="175">
        <f t="shared" si="2"/>
        <v>0</v>
      </c>
      <c r="I20" s="176">
        <f t="shared" si="3"/>
        <v>587</v>
      </c>
      <c r="J20" s="340"/>
      <c r="K20" s="198">
        <v>1736</v>
      </c>
      <c r="L20" s="344">
        <v>0</v>
      </c>
      <c r="M20" s="304"/>
      <c r="N20" s="304"/>
      <c r="O20" s="304"/>
      <c r="P20" s="340"/>
      <c r="Q20" s="340"/>
      <c r="R20" s="340"/>
      <c r="S20" s="340"/>
      <c r="T20" s="340"/>
    </row>
    <row r="21" spans="1:20" s="161" customFormat="1" ht="13.2" customHeight="1" x14ac:dyDescent="0.35">
      <c r="A21" s="161">
        <f t="shared" ca="1" si="0"/>
        <v>0.30045073143307743</v>
      </c>
      <c r="B21" s="162">
        <v>5</v>
      </c>
      <c r="C21" s="162">
        <v>63</v>
      </c>
      <c r="D21" s="171" t="e">
        <f>VLOOKUP(C21,Уч!$A$2:$L$34,2,FALSE)</f>
        <v>#N/A</v>
      </c>
      <c r="E21" s="345" t="e">
        <f>VLOOKUP(C21,Уч!$A$2:$L$34,3,FALSE)</f>
        <v>#N/A</v>
      </c>
      <c r="F21" s="639" t="e">
        <f>VLOOKUP(C21,Уч!$A$2:$L$34,5,FALSE)</f>
        <v>#N/A</v>
      </c>
      <c r="G21" s="604">
        <f t="shared" si="1"/>
        <v>0</v>
      </c>
      <c r="H21" s="175">
        <f t="shared" si="2"/>
        <v>0</v>
      </c>
      <c r="I21" s="176">
        <f t="shared" si="3"/>
        <v>0</v>
      </c>
      <c r="J21" s="161" t="s">
        <v>345</v>
      </c>
      <c r="K21" s="170"/>
      <c r="L21" s="344">
        <v>0</v>
      </c>
    </row>
    <row r="22" spans="1:20" s="161" customFormat="1" ht="13.2" customHeight="1" x14ac:dyDescent="0.35">
      <c r="A22" s="161">
        <f t="shared" ca="1" si="0"/>
        <v>0.14706320104041315</v>
      </c>
      <c r="B22" s="162">
        <v>6</v>
      </c>
      <c r="C22" s="162">
        <v>69</v>
      </c>
      <c r="D22" s="171" t="e">
        <f>VLOOKUP(C22,Уч!$A$2:$L$34,2,FALSE)</f>
        <v>#N/A</v>
      </c>
      <c r="E22" s="345" t="e">
        <f>VLOOKUP(C22,Уч!$A$2:$L$34,3,FALSE)</f>
        <v>#N/A</v>
      </c>
      <c r="F22" s="639" t="e">
        <f>VLOOKUP(C22,Уч!$A$2:$L$34,5,FALSE)</f>
        <v>#N/A</v>
      </c>
      <c r="G22" s="604">
        <f t="shared" si="1"/>
        <v>17.38</v>
      </c>
      <c r="H22" s="175">
        <f t="shared" si="2"/>
        <v>0</v>
      </c>
      <c r="I22" s="176">
        <f t="shared" si="3"/>
        <v>585</v>
      </c>
      <c r="K22" s="170">
        <v>1738</v>
      </c>
      <c r="L22" s="344">
        <v>0</v>
      </c>
    </row>
    <row r="23" spans="1:20" s="161" customFormat="1" ht="13.2" customHeight="1" x14ac:dyDescent="0.35">
      <c r="A23" s="161">
        <f t="shared" ca="1" si="0"/>
        <v>0.40782236917741388</v>
      </c>
      <c r="B23" s="162">
        <v>7</v>
      </c>
      <c r="C23" s="162"/>
      <c r="D23" s="171"/>
      <c r="E23" s="345"/>
      <c r="F23" s="639"/>
      <c r="G23" s="604"/>
      <c r="H23" s="175"/>
      <c r="I23" s="168">
        <f>IF(K23&gt;2809,0,IF(K23=0,0,ROUNDDOWN(5.74352*(28.5-K23/100)^1.92,0)))</f>
        <v>0</v>
      </c>
      <c r="K23" s="170"/>
      <c r="L23" s="344">
        <v>0</v>
      </c>
    </row>
    <row r="24" spans="1:20" s="161" customFormat="1" ht="13.2" customHeight="1" x14ac:dyDescent="0.35">
      <c r="A24" s="161">
        <f t="shared" ca="1" si="0"/>
        <v>0.61944788178657406</v>
      </c>
      <c r="B24" s="162">
        <v>8</v>
      </c>
      <c r="C24" s="162"/>
      <c r="D24" s="163" t="e">
        <f>VLOOKUP(C24,Уч!$A$2:$L$34,2,FALSE)</f>
        <v>#N/A</v>
      </c>
      <c r="E24" s="343" t="e">
        <f>VLOOKUP(C24,Уч!$A$2:$L$34,3,FALSE)</f>
        <v>#N/A</v>
      </c>
      <c r="F24" s="638" t="e">
        <f>VLOOKUP(C24,Уч!$A$2:$L$34,5,FALSE)</f>
        <v>#N/A</v>
      </c>
      <c r="G24" s="604">
        <f t="shared" si="1"/>
        <v>0</v>
      </c>
      <c r="H24" s="175">
        <f t="shared" si="2"/>
        <v>0</v>
      </c>
      <c r="I24" s="168">
        <f t="shared" si="3"/>
        <v>0</v>
      </c>
      <c r="K24" s="170"/>
      <c r="L24" s="344">
        <v>0</v>
      </c>
    </row>
    <row r="25" spans="1:20" s="161" customFormat="1" ht="13.2" hidden="1" customHeight="1" x14ac:dyDescent="0.35">
      <c r="A25" s="304"/>
      <c r="B25" s="304"/>
      <c r="C25" s="298"/>
      <c r="D25" s="169"/>
      <c r="E25" s="346"/>
      <c r="F25" s="347"/>
      <c r="G25" s="340"/>
      <c r="H25" s="707"/>
      <c r="I25" s="349"/>
      <c r="K25" s="170"/>
      <c r="L25" s="350"/>
    </row>
    <row r="26" spans="1:20" s="161" customFormat="1" ht="13.2" customHeight="1" outlineLevel="1" x14ac:dyDescent="0.35">
      <c r="A26" s="304"/>
      <c r="B26" s="304"/>
      <c r="C26" s="298"/>
      <c r="D26" s="340" t="s">
        <v>63</v>
      </c>
      <c r="E26" s="346"/>
      <c r="F26" s="347"/>
      <c r="G26" s="340"/>
      <c r="H26" s="707"/>
      <c r="I26" s="349"/>
      <c r="K26" s="170"/>
      <c r="L26" s="350"/>
    </row>
    <row r="27" spans="1:20" s="161" customFormat="1" ht="13.2" customHeight="1" outlineLevel="1" x14ac:dyDescent="0.35">
      <c r="A27" s="161">
        <f t="shared" ref="A27:A34" ca="1" si="4">RAND()</f>
        <v>0.64684550970436749</v>
      </c>
      <c r="B27" s="162">
        <v>1</v>
      </c>
      <c r="C27" s="162"/>
      <c r="D27" s="163" t="e">
        <f>VLOOKUP(C27,Уч!$A$2:$L$34,2,FALSE)</f>
        <v>#N/A</v>
      </c>
      <c r="E27" s="343" t="e">
        <f>VLOOKUP(C27,Уч!$A$2:$L$34,3,FALSE)</f>
        <v>#N/A</v>
      </c>
      <c r="F27" s="638" t="e">
        <f>VLOOKUP(C27,Уч!$A$2:$L$34,5,FALSE)</f>
        <v>#N/A</v>
      </c>
      <c r="G27" s="604">
        <f t="shared" ref="G27:G34" si="5">K27/100</f>
        <v>0</v>
      </c>
      <c r="H27" s="175">
        <f t="shared" ref="H27:H34" si="6">L27/10</f>
        <v>0</v>
      </c>
      <c r="I27" s="168">
        <f t="shared" ref="I27:I34" si="7">IF(K27&gt;2809,0,IF(K27=0,0,ROUNDDOWN(5.74352*(28.5-K27/100)^1.92,0)))</f>
        <v>0</v>
      </c>
      <c r="K27" s="170"/>
      <c r="L27" s="344"/>
    </row>
    <row r="28" spans="1:20" s="161" customFormat="1" ht="13.2" customHeight="1" outlineLevel="1" x14ac:dyDescent="0.35">
      <c r="A28" s="161">
        <f t="shared" ca="1" si="4"/>
        <v>0.61841975963913143</v>
      </c>
      <c r="B28" s="162">
        <v>2</v>
      </c>
      <c r="C28" s="162">
        <v>68</v>
      </c>
      <c r="D28" s="171" t="e">
        <f>VLOOKUP(C28,Уч!$A$2:$L$34,2,FALSE)</f>
        <v>#N/A</v>
      </c>
      <c r="E28" s="345" t="e">
        <f>VLOOKUP(C28,Уч!$A$2:$L$34,3,FALSE)</f>
        <v>#N/A</v>
      </c>
      <c r="F28" s="639" t="e">
        <f>VLOOKUP(C28,Уч!$A$2:$L$34,5,FALSE)</f>
        <v>#N/A</v>
      </c>
      <c r="G28" s="604">
        <f t="shared" si="5"/>
        <v>0</v>
      </c>
      <c r="H28" s="175">
        <f t="shared" si="6"/>
        <v>-1</v>
      </c>
      <c r="I28" s="176">
        <f t="shared" si="7"/>
        <v>0</v>
      </c>
      <c r="J28" s="161" t="s">
        <v>338</v>
      </c>
      <c r="K28" s="170"/>
      <c r="L28" s="344">
        <v>-10</v>
      </c>
    </row>
    <row r="29" spans="1:20" s="161" customFormat="1" ht="13.2" customHeight="1" outlineLevel="1" x14ac:dyDescent="0.35">
      <c r="A29" s="161">
        <f t="shared" ca="1" si="4"/>
        <v>0.8570123046728334</v>
      </c>
      <c r="B29" s="162">
        <v>3</v>
      </c>
      <c r="C29" s="162">
        <v>81</v>
      </c>
      <c r="D29" s="171" t="str">
        <f>VLOOKUP(C29,Уч!$A$2:$L$34,2,FALSE)</f>
        <v>Исаев Максим</v>
      </c>
      <c r="E29" s="345" t="str">
        <f>VLOOKUP(C29,Уч!$A$2:$L$34,3,FALSE)</f>
        <v>10.07.1997</v>
      </c>
      <c r="F29" s="639" t="str">
        <f>VLOOKUP(C29,Уч!$A$2:$L$34,5,FALSE)</f>
        <v xml:space="preserve">Челябинская область  </v>
      </c>
      <c r="G29" s="604">
        <f t="shared" si="5"/>
        <v>17.100000000000001</v>
      </c>
      <c r="H29" s="175">
        <f t="shared" si="6"/>
        <v>-1</v>
      </c>
      <c r="I29" s="176">
        <f t="shared" si="7"/>
        <v>614</v>
      </c>
      <c r="K29" s="170">
        <v>1710</v>
      </c>
      <c r="L29" s="344">
        <v>-10</v>
      </c>
    </row>
    <row r="30" spans="1:20" s="161" customFormat="1" ht="13.2" customHeight="1" outlineLevel="1" x14ac:dyDescent="0.35">
      <c r="A30" s="161">
        <f t="shared" ca="1" si="4"/>
        <v>0.19445088161341362</v>
      </c>
      <c r="B30" s="162">
        <v>4</v>
      </c>
      <c r="C30" s="162">
        <v>40</v>
      </c>
      <c r="D30" s="171" t="str">
        <f>VLOOKUP(C30,Уч!$A$2:$L$34,2,FALSE)</f>
        <v>Черкасов Алексей</v>
      </c>
      <c r="E30" s="345" t="str">
        <f>VLOOKUP(C30,Уч!$A$2:$L$34,3,FALSE)</f>
        <v>22.10.1994</v>
      </c>
      <c r="F30" s="639" t="str">
        <f>VLOOKUP(C30,Уч!$A$2:$L$34,5,FALSE)</f>
        <v xml:space="preserve">Кемеровская область Санкт-Петербург </v>
      </c>
      <c r="G30" s="604">
        <f t="shared" si="5"/>
        <v>15.18</v>
      </c>
      <c r="H30" s="175">
        <f t="shared" si="6"/>
        <v>-1</v>
      </c>
      <c r="I30" s="176">
        <f t="shared" si="7"/>
        <v>828</v>
      </c>
      <c r="K30" s="170">
        <v>1518</v>
      </c>
      <c r="L30" s="344">
        <v>-10</v>
      </c>
    </row>
    <row r="31" spans="1:20" s="161" customFormat="1" ht="13.2" customHeight="1" outlineLevel="1" x14ac:dyDescent="0.35">
      <c r="A31" s="161">
        <f t="shared" ca="1" si="4"/>
        <v>0.27604859434018092</v>
      </c>
      <c r="B31" s="162">
        <v>5</v>
      </c>
      <c r="C31" s="162">
        <v>45</v>
      </c>
      <c r="D31" s="171" t="str">
        <f>VLOOKUP(C31,Уч!$A$2:$L$34,2,FALSE)</f>
        <v>Бочаринский Данила</v>
      </c>
      <c r="E31" s="345" t="str">
        <f>VLOOKUP(C31,Уч!$A$2:$L$34,3,FALSE)</f>
        <v>12.01.1999</v>
      </c>
      <c r="F31" s="639" t="str">
        <f>VLOOKUP(C31,Уч!$A$2:$L$34,5,FALSE)</f>
        <v xml:space="preserve">Кемеровская область  </v>
      </c>
      <c r="G31" s="604">
        <f t="shared" si="5"/>
        <v>16.09</v>
      </c>
      <c r="H31" s="175">
        <f t="shared" si="6"/>
        <v>-1</v>
      </c>
      <c r="I31" s="176">
        <f t="shared" si="7"/>
        <v>723</v>
      </c>
      <c r="K31" s="170">
        <v>1609</v>
      </c>
      <c r="L31" s="344">
        <v>-10</v>
      </c>
    </row>
    <row r="32" spans="1:20" s="161" customFormat="1" ht="13.2" customHeight="1" outlineLevel="1" x14ac:dyDescent="0.35">
      <c r="A32" s="161">
        <f t="shared" ca="1" si="4"/>
        <v>0.56965994376884554</v>
      </c>
      <c r="B32" s="162">
        <v>6</v>
      </c>
      <c r="C32" s="162">
        <v>78</v>
      </c>
      <c r="D32" s="171" t="str">
        <f>VLOOKUP(C32,Уч!$A$2:$L$34,2,FALSE)</f>
        <v>Слаква Максим</v>
      </c>
      <c r="E32" s="345" t="str">
        <f>VLOOKUP(C32,Уч!$A$2:$L$34,3,FALSE)</f>
        <v>10.05.1998</v>
      </c>
      <c r="F32" s="639" t="str">
        <f>VLOOKUP(C32,Уч!$A$2:$L$34,5,FALSE)</f>
        <v xml:space="preserve">Ставропольский край  </v>
      </c>
      <c r="G32" s="604">
        <f t="shared" si="5"/>
        <v>16.29</v>
      </c>
      <c r="H32" s="175">
        <f t="shared" si="6"/>
        <v>-1</v>
      </c>
      <c r="I32" s="176">
        <f t="shared" si="7"/>
        <v>700</v>
      </c>
      <c r="K32" s="170">
        <v>1629</v>
      </c>
      <c r="L32" s="344">
        <v>-10</v>
      </c>
    </row>
    <row r="33" spans="1:34" s="161" customFormat="1" ht="13.2" customHeight="1" outlineLevel="1" x14ac:dyDescent="0.35">
      <c r="A33" s="161">
        <f t="shared" ca="1" si="4"/>
        <v>6.5462667252513485E-2</v>
      </c>
      <c r="B33" s="162">
        <v>7</v>
      </c>
      <c r="C33" s="162">
        <v>26</v>
      </c>
      <c r="D33" s="171" t="e">
        <f>VLOOKUP(C33,Уч!$A$2:$L$34,2,FALSE)</f>
        <v>#N/A</v>
      </c>
      <c r="E33" s="345" t="e">
        <f>VLOOKUP(C33,Уч!$A$2:$L$34,3,FALSE)</f>
        <v>#N/A</v>
      </c>
      <c r="F33" s="639" t="e">
        <f>VLOOKUP(C33,Уч!$A$2:$L$34,5,FALSE)</f>
        <v>#N/A</v>
      </c>
      <c r="G33" s="604">
        <f t="shared" ref="G33" si="8">K33/100</f>
        <v>16.239999999999998</v>
      </c>
      <c r="H33" s="175">
        <f t="shared" ref="H33" si="9">L33/10</f>
        <v>-1</v>
      </c>
      <c r="I33" s="176">
        <f t="shared" ref="I33" si="10">IF(K33&gt;2809,0,IF(K33=0,0,ROUNDDOWN(5.74352*(28.5-K33/100)^1.92,0)))</f>
        <v>706</v>
      </c>
      <c r="K33" s="170">
        <v>1624</v>
      </c>
      <c r="L33" s="344">
        <v>-10</v>
      </c>
    </row>
    <row r="34" spans="1:34" s="161" customFormat="1" ht="13.2" customHeight="1" outlineLevel="1" x14ac:dyDescent="0.35">
      <c r="A34" s="161">
        <f t="shared" ca="1" si="4"/>
        <v>0.45819410600056876</v>
      </c>
      <c r="B34" s="162">
        <v>8</v>
      </c>
      <c r="C34" s="162"/>
      <c r="D34" s="163" t="e">
        <f>VLOOKUP(C34,Уч!$A$2:$L$34,2,FALSE)</f>
        <v>#N/A</v>
      </c>
      <c r="E34" s="343" t="e">
        <f>VLOOKUP(C34,Уч!$A$2:$L$34,3,FALSE)</f>
        <v>#N/A</v>
      </c>
      <c r="F34" s="638" t="e">
        <f>VLOOKUP(C34,Уч!$A$2:$L$34,5,FALSE)</f>
        <v>#N/A</v>
      </c>
      <c r="G34" s="604">
        <f t="shared" si="5"/>
        <v>0</v>
      </c>
      <c r="H34" s="175">
        <f t="shared" si="6"/>
        <v>0</v>
      </c>
      <c r="I34" s="168">
        <f t="shared" si="7"/>
        <v>0</v>
      </c>
      <c r="K34" s="198"/>
      <c r="L34" s="344"/>
    </row>
    <row r="35" spans="1:34" s="161" customFormat="1" ht="13.2" hidden="1" customHeight="1" x14ac:dyDescent="0.35">
      <c r="A35" s="304"/>
      <c r="B35" s="304"/>
      <c r="C35" s="304"/>
      <c r="D35" s="169"/>
      <c r="E35" s="346"/>
      <c r="F35" s="351"/>
      <c r="G35" s="340"/>
      <c r="H35" s="707"/>
      <c r="I35" s="349"/>
      <c r="K35" s="170"/>
      <c r="L35" s="350"/>
    </row>
    <row r="36" spans="1:34" s="340" customFormat="1" ht="13.2" customHeight="1" x14ac:dyDescent="0.35">
      <c r="C36" s="298"/>
      <c r="D36" s="340" t="s">
        <v>64</v>
      </c>
      <c r="E36" s="352"/>
      <c r="F36" s="348"/>
      <c r="I36" s="353"/>
      <c r="K36" s="342"/>
      <c r="L36" s="342"/>
    </row>
    <row r="37" spans="1:34" s="340" customFormat="1" ht="13.2" customHeight="1" x14ac:dyDescent="0.35">
      <c r="A37" s="161">
        <f t="shared" ref="A37:A44" ca="1" si="11">RAND()</f>
        <v>0.1197414276237625</v>
      </c>
      <c r="B37" s="162">
        <v>1</v>
      </c>
      <c r="C37" s="162"/>
      <c r="D37" s="163" t="e">
        <f>VLOOKUP(C37,Уч!$A$2:$L$34,2,FALSE)</f>
        <v>#N/A</v>
      </c>
      <c r="E37" s="343" t="e">
        <f>VLOOKUP(C37,Уч!$A$2:$L$34,3,FALSE)</f>
        <v>#N/A</v>
      </c>
      <c r="F37" s="638" t="e">
        <f>VLOOKUP(C37,Уч!$A$2:$L$34,5,FALSE)</f>
        <v>#N/A</v>
      </c>
      <c r="G37" s="604">
        <f t="shared" ref="G37:G44" si="12">K37/100</f>
        <v>0</v>
      </c>
      <c r="H37" s="175">
        <f t="shared" ref="H37:H44" si="13">L37/10</f>
        <v>0</v>
      </c>
      <c r="I37" s="168">
        <f t="shared" ref="I37:I44" si="14">IF(K37&gt;2809,0,IF(K37=0,0,ROUNDDOWN(5.74352*(28.5-K37/100)^1.92,0)))</f>
        <v>0</v>
      </c>
      <c r="J37" s="161"/>
      <c r="K37" s="170"/>
      <c r="L37" s="344"/>
      <c r="M37" s="161"/>
      <c r="N37" s="161"/>
      <c r="O37" s="161"/>
      <c r="P37" s="161"/>
      <c r="Q37" s="161"/>
      <c r="R37" s="161"/>
      <c r="S37" s="161"/>
      <c r="T37" s="161"/>
      <c r="U37" s="161"/>
      <c r="V37" s="161"/>
      <c r="W37" s="161"/>
      <c r="X37" s="161"/>
      <c r="Y37" s="161"/>
      <c r="Z37" s="161"/>
      <c r="AA37" s="161"/>
      <c r="AB37" s="161"/>
      <c r="AC37" s="161"/>
      <c r="AD37" s="161"/>
      <c r="AE37" s="161"/>
      <c r="AF37" s="161"/>
      <c r="AG37" s="161"/>
      <c r="AH37" s="161"/>
    </row>
    <row r="38" spans="1:34" s="161" customFormat="1" ht="13.2" customHeight="1" x14ac:dyDescent="0.35">
      <c r="A38" s="161">
        <f t="shared" ca="1" si="11"/>
        <v>9.9407463787987704E-2</v>
      </c>
      <c r="B38" s="162">
        <v>2</v>
      </c>
      <c r="C38" s="162"/>
      <c r="D38" s="171"/>
      <c r="E38" s="345"/>
      <c r="F38" s="639"/>
      <c r="G38" s="604">
        <f t="shared" si="12"/>
        <v>0</v>
      </c>
      <c r="H38" s="175">
        <f t="shared" si="13"/>
        <v>0</v>
      </c>
      <c r="I38" s="176">
        <f t="shared" si="14"/>
        <v>0</v>
      </c>
      <c r="K38" s="170"/>
      <c r="L38" s="344"/>
    </row>
    <row r="39" spans="1:34" s="161" customFormat="1" ht="13.2" customHeight="1" x14ac:dyDescent="0.35">
      <c r="A39" s="161">
        <f t="shared" ca="1" si="11"/>
        <v>0.56019697773165289</v>
      </c>
      <c r="B39" s="162">
        <v>3</v>
      </c>
      <c r="C39" s="162">
        <v>80</v>
      </c>
      <c r="D39" s="171" t="e">
        <f>VLOOKUP(C39,Уч!$A$2:$L$34,2,FALSE)</f>
        <v>#N/A</v>
      </c>
      <c r="E39" s="345" t="e">
        <f>VLOOKUP(C39,Уч!$A$2:$L$34,3,FALSE)</f>
        <v>#N/A</v>
      </c>
      <c r="F39" s="639" t="e">
        <f>VLOOKUP(C39,Уч!$A$2:$L$34,5,FALSE)</f>
        <v>#N/A</v>
      </c>
      <c r="G39" s="604">
        <f t="shared" si="12"/>
        <v>15.17</v>
      </c>
      <c r="H39" s="175">
        <f t="shared" si="13"/>
        <v>-1.5</v>
      </c>
      <c r="I39" s="176">
        <f t="shared" si="14"/>
        <v>829</v>
      </c>
      <c r="K39" s="170">
        <v>1517</v>
      </c>
      <c r="L39" s="344">
        <v>-15</v>
      </c>
    </row>
    <row r="40" spans="1:34" s="161" customFormat="1" ht="13.2" customHeight="1" x14ac:dyDescent="0.35">
      <c r="A40" s="161">
        <f t="shared" ca="1" si="11"/>
        <v>0.70189208284741222</v>
      </c>
      <c r="B40" s="162">
        <v>4</v>
      </c>
      <c r="C40" s="162">
        <v>41</v>
      </c>
      <c r="D40" s="171" t="str">
        <f>VLOOKUP(C40,Уч!$A$2:$L$34,2,FALSE)</f>
        <v>Фомичев Андрей</v>
      </c>
      <c r="E40" s="345" t="str">
        <f>VLOOKUP(C40,Уч!$A$2:$L$34,3,FALSE)</f>
        <v>15.12.1996</v>
      </c>
      <c r="F40" s="639" t="str">
        <f>VLOOKUP(C40,Уч!$A$2:$L$34,5,FALSE)</f>
        <v xml:space="preserve">Кемеровская область  </v>
      </c>
      <c r="G40" s="604">
        <f t="shared" si="12"/>
        <v>16.12</v>
      </c>
      <c r="H40" s="175">
        <f t="shared" si="13"/>
        <v>-1.5</v>
      </c>
      <c r="I40" s="176">
        <f t="shared" si="14"/>
        <v>719</v>
      </c>
      <c r="K40" s="170">
        <v>1612</v>
      </c>
      <c r="L40" s="344">
        <v>-15</v>
      </c>
    </row>
    <row r="41" spans="1:34" s="161" customFormat="1" ht="13.2" customHeight="1" x14ac:dyDescent="0.35">
      <c r="A41" s="161">
        <f t="shared" ca="1" si="11"/>
        <v>0.45371802299470643</v>
      </c>
      <c r="B41" s="162">
        <v>5</v>
      </c>
      <c r="C41" s="162">
        <v>35</v>
      </c>
      <c r="D41" s="171" t="e">
        <f>VLOOKUP(C41,Уч!$A$2:$L$34,2,FALSE)</f>
        <v>#N/A</v>
      </c>
      <c r="E41" s="345" t="e">
        <f>VLOOKUP(C41,Уч!$A$2:$L$34,3,FALSE)</f>
        <v>#N/A</v>
      </c>
      <c r="F41" s="639" t="e">
        <f>VLOOKUP(C41,Уч!$A$2:$L$34,5,FALSE)</f>
        <v>#N/A</v>
      </c>
      <c r="G41" s="604">
        <f t="shared" si="12"/>
        <v>16.32</v>
      </c>
      <c r="H41" s="175">
        <f t="shared" si="13"/>
        <v>-1.5</v>
      </c>
      <c r="I41" s="176">
        <f t="shared" si="14"/>
        <v>697</v>
      </c>
      <c r="K41" s="170">
        <v>1632</v>
      </c>
      <c r="L41" s="344">
        <v>-15</v>
      </c>
    </row>
    <row r="42" spans="1:34" s="161" customFormat="1" ht="13.2" customHeight="1" x14ac:dyDescent="0.35">
      <c r="A42" s="161">
        <f t="shared" ca="1" si="11"/>
        <v>0.99964151256954414</v>
      </c>
      <c r="B42" s="162">
        <v>6</v>
      </c>
      <c r="C42" s="162">
        <v>50</v>
      </c>
      <c r="D42" s="171" t="e">
        <f>VLOOKUP(C42,Уч!$A$2:$L$34,2,FALSE)</f>
        <v>#N/A</v>
      </c>
      <c r="E42" s="345" t="e">
        <f>VLOOKUP(C42,Уч!$A$2:$L$34,3,FALSE)</f>
        <v>#N/A</v>
      </c>
      <c r="F42" s="639" t="e">
        <f>VLOOKUP(C42,Уч!$A$2:$L$34,5,FALSE)</f>
        <v>#N/A</v>
      </c>
      <c r="G42" s="604">
        <f t="shared" si="12"/>
        <v>16.010000000000002</v>
      </c>
      <c r="H42" s="175">
        <f t="shared" si="13"/>
        <v>-1.5</v>
      </c>
      <c r="I42" s="176">
        <f t="shared" si="14"/>
        <v>732</v>
      </c>
      <c r="K42" s="170">
        <v>1601</v>
      </c>
      <c r="L42" s="344">
        <v>-15</v>
      </c>
    </row>
    <row r="43" spans="1:34" s="161" customFormat="1" ht="13.2" customHeight="1" x14ac:dyDescent="0.35">
      <c r="A43" s="161">
        <f t="shared" ca="1" si="11"/>
        <v>0.32629880758843754</v>
      </c>
      <c r="B43" s="162">
        <v>7</v>
      </c>
      <c r="C43" s="162">
        <v>70</v>
      </c>
      <c r="D43" s="171" t="e">
        <f>VLOOKUP(C43,Уч!$A$2:$L$34,2,FALSE)</f>
        <v>#N/A</v>
      </c>
      <c r="E43" s="345" t="e">
        <f>VLOOKUP(C43,Уч!$A$2:$L$34,3,FALSE)</f>
        <v>#N/A</v>
      </c>
      <c r="F43" s="640" t="e">
        <f>VLOOKUP(C43,Уч!$A$2:$L$34,5,FALSE)</f>
        <v>#N/A</v>
      </c>
      <c r="G43" s="604">
        <f t="shared" si="12"/>
        <v>15.24</v>
      </c>
      <c r="H43" s="175">
        <f t="shared" si="13"/>
        <v>-1.5</v>
      </c>
      <c r="I43" s="168">
        <f t="shared" si="14"/>
        <v>821</v>
      </c>
      <c r="J43" s="340"/>
      <c r="K43" s="198">
        <v>1524</v>
      </c>
      <c r="L43" s="344">
        <v>-15</v>
      </c>
      <c r="M43" s="304"/>
      <c r="N43" s="304"/>
      <c r="O43" s="304"/>
      <c r="P43" s="340"/>
      <c r="Q43" s="340"/>
      <c r="R43" s="340"/>
      <c r="S43" s="340"/>
      <c r="T43" s="340"/>
      <c r="U43" s="340"/>
      <c r="V43" s="340"/>
      <c r="W43" s="340"/>
      <c r="X43" s="340"/>
      <c r="Y43" s="340"/>
      <c r="Z43" s="340"/>
      <c r="AA43" s="340"/>
      <c r="AB43" s="340"/>
      <c r="AC43" s="340"/>
      <c r="AD43" s="340"/>
      <c r="AE43" s="340"/>
      <c r="AF43" s="340"/>
      <c r="AG43" s="340"/>
      <c r="AH43" s="340"/>
    </row>
    <row r="44" spans="1:34" s="161" customFormat="1" ht="13.2" customHeight="1" x14ac:dyDescent="0.35">
      <c r="A44" s="161">
        <f t="shared" ca="1" si="11"/>
        <v>0.74533428798517454</v>
      </c>
      <c r="B44" s="162">
        <v>8</v>
      </c>
      <c r="C44" s="162"/>
      <c r="D44" s="163" t="e">
        <f>VLOOKUP(C44,Уч!$A$2:$L$34,2,FALSE)</f>
        <v>#N/A</v>
      </c>
      <c r="E44" s="343" t="e">
        <f>VLOOKUP(C44,Уч!$A$2:$L$34,3,FALSE)</f>
        <v>#N/A</v>
      </c>
      <c r="F44" s="638" t="e">
        <f>VLOOKUP(C44,Уч!$A$2:$L$34,5,FALSE)</f>
        <v>#N/A</v>
      </c>
      <c r="G44" s="604">
        <f t="shared" si="12"/>
        <v>0</v>
      </c>
      <c r="H44" s="175">
        <f t="shared" si="13"/>
        <v>0</v>
      </c>
      <c r="I44" s="168">
        <f t="shared" si="14"/>
        <v>0</v>
      </c>
      <c r="K44" s="170"/>
      <c r="L44" s="344"/>
    </row>
    <row r="45" spans="1:34" s="161" customFormat="1" ht="13.2" hidden="1" customHeight="1" x14ac:dyDescent="0.35">
      <c r="A45" s="304"/>
      <c r="B45" s="304"/>
      <c r="C45" s="304"/>
      <c r="D45" s="169"/>
      <c r="E45" s="346"/>
      <c r="F45" s="347"/>
      <c r="G45" s="340"/>
      <c r="H45" s="707"/>
      <c r="I45" s="349"/>
      <c r="K45" s="170"/>
      <c r="L45" s="350"/>
    </row>
    <row r="46" spans="1:34" s="161" customFormat="1" ht="13.2" customHeight="1" outlineLevel="1" x14ac:dyDescent="0.35">
      <c r="A46" s="304"/>
      <c r="B46" s="304"/>
      <c r="C46" s="298"/>
      <c r="D46" s="340" t="s">
        <v>99</v>
      </c>
      <c r="E46" s="346"/>
      <c r="F46" s="347"/>
      <c r="G46" s="340"/>
      <c r="H46" s="707"/>
      <c r="I46" s="349"/>
      <c r="K46" s="170"/>
      <c r="L46" s="350"/>
    </row>
    <row r="47" spans="1:34" s="161" customFormat="1" ht="13.2" customHeight="1" outlineLevel="1" x14ac:dyDescent="0.35">
      <c r="A47" s="161">
        <f t="shared" ref="A47:A54" ca="1" si="15">RAND()</f>
        <v>0.72044467556405645</v>
      </c>
      <c r="B47" s="162">
        <v>1</v>
      </c>
      <c r="C47" s="162"/>
      <c r="D47" s="163" t="e">
        <f>VLOOKUP(C47,Уч!$A$2:$L$34,2,FALSE)</f>
        <v>#N/A</v>
      </c>
      <c r="E47" s="343" t="e">
        <f>VLOOKUP(C47,Уч!$A$2:$L$34,3,FALSE)</f>
        <v>#N/A</v>
      </c>
      <c r="F47" s="638" t="e">
        <f>VLOOKUP(C47,Уч!$A$2:$L$34,5,FALSE)</f>
        <v>#N/A</v>
      </c>
      <c r="G47" s="604">
        <f t="shared" ref="G47:G54" si="16">K47/100</f>
        <v>0</v>
      </c>
      <c r="H47" s="175">
        <f>L49/10</f>
        <v>0</v>
      </c>
      <c r="I47" s="168">
        <f t="shared" ref="I47:I54" si="17">IF(K47&gt;2809,0,IF(K47=0,0,ROUNDDOWN(5.74352*(28.5-K47/100)^1.92,0)))</f>
        <v>0</v>
      </c>
      <c r="K47" s="198"/>
    </row>
    <row r="48" spans="1:34" s="161" customFormat="1" ht="13.2" customHeight="1" outlineLevel="1" x14ac:dyDescent="0.35">
      <c r="A48" s="161">
        <f t="shared" ca="1" si="15"/>
        <v>0.24685850907905271</v>
      </c>
      <c r="B48" s="162">
        <v>2</v>
      </c>
      <c r="C48" s="162">
        <v>44</v>
      </c>
      <c r="D48" s="171" t="str">
        <f>VLOOKUP(C48,Уч!$A$2:$L$34,2,FALSE)</f>
        <v>Хамедов Игорь</v>
      </c>
      <c r="E48" s="345" t="str">
        <f>VLOOKUP(C48,Уч!$A$2:$L$34,3,FALSE)</f>
        <v>30.05.1998</v>
      </c>
      <c r="F48" s="639" t="str">
        <f>VLOOKUP(C48,Уч!$A$2:$L$34,5,FALSE)</f>
        <v xml:space="preserve">Кемеровская область  </v>
      </c>
      <c r="G48" s="604">
        <f t="shared" si="16"/>
        <v>16.11</v>
      </c>
      <c r="H48" s="175">
        <f t="shared" ref="H48:H54" si="18">L48/10</f>
        <v>0</v>
      </c>
      <c r="I48" s="176">
        <f t="shared" si="17"/>
        <v>720</v>
      </c>
      <c r="K48" s="170">
        <v>1611</v>
      </c>
      <c r="L48" s="344">
        <v>0</v>
      </c>
    </row>
    <row r="49" spans="1:12" s="161" customFormat="1" ht="13.2" customHeight="1" outlineLevel="1" x14ac:dyDescent="0.35">
      <c r="A49" s="161">
        <f t="shared" ca="1" si="15"/>
        <v>0.30629006437510076</v>
      </c>
      <c r="B49" s="162">
        <v>3</v>
      </c>
      <c r="C49" s="304">
        <v>29</v>
      </c>
      <c r="D49" s="171" t="e">
        <f>VLOOKUP(C49,Уч!$A$2:$L$34,2,FALSE)</f>
        <v>#N/A</v>
      </c>
      <c r="E49" s="345" t="e">
        <f>VLOOKUP(C49,Уч!$A$2:$L$34,3,FALSE)</f>
        <v>#N/A</v>
      </c>
      <c r="F49" s="639" t="e">
        <f>VLOOKUP(C49,Уч!$A$2:$L$34,5,FALSE)</f>
        <v>#N/A</v>
      </c>
      <c r="G49" s="604">
        <f t="shared" si="16"/>
        <v>14.69</v>
      </c>
      <c r="H49" s="175">
        <f t="shared" si="18"/>
        <v>0</v>
      </c>
      <c r="I49" s="176">
        <f t="shared" si="17"/>
        <v>887</v>
      </c>
      <c r="K49" s="170">
        <v>1469</v>
      </c>
      <c r="L49" s="344">
        <v>0</v>
      </c>
    </row>
    <row r="50" spans="1:12" s="161" customFormat="1" ht="13.2" customHeight="1" outlineLevel="1" x14ac:dyDescent="0.35">
      <c r="A50" s="161">
        <f t="shared" ca="1" si="15"/>
        <v>0.90484907464687525</v>
      </c>
      <c r="B50" s="162">
        <v>4</v>
      </c>
      <c r="C50" s="162">
        <v>54</v>
      </c>
      <c r="D50" s="171" t="e">
        <f>VLOOKUP(C50,Уч!$A$2:$L$34,2,FALSE)</f>
        <v>#N/A</v>
      </c>
      <c r="E50" s="345" t="e">
        <f>VLOOKUP(C50,Уч!$A$2:$L$34,3,FALSE)</f>
        <v>#N/A</v>
      </c>
      <c r="F50" s="639" t="e">
        <f>VLOOKUP(C50,Уч!$A$2:$L$34,5,FALSE)</f>
        <v>#N/A</v>
      </c>
      <c r="G50" s="604">
        <f t="shared" si="16"/>
        <v>14.6</v>
      </c>
      <c r="H50" s="175">
        <f t="shared" si="18"/>
        <v>0</v>
      </c>
      <c r="I50" s="176">
        <f t="shared" si="17"/>
        <v>899</v>
      </c>
      <c r="K50" s="170">
        <v>1460</v>
      </c>
      <c r="L50" s="344">
        <v>0</v>
      </c>
    </row>
    <row r="51" spans="1:12" s="161" customFormat="1" ht="13.2" customHeight="1" outlineLevel="1" x14ac:dyDescent="0.35">
      <c r="A51" s="161">
        <f t="shared" ca="1" si="15"/>
        <v>0.83182944704743966</v>
      </c>
      <c r="B51" s="162">
        <v>5</v>
      </c>
      <c r="C51" s="162">
        <v>8</v>
      </c>
      <c r="D51" s="171" t="e">
        <f>VLOOKUP(C51,Уч!$A$2:$L$34,2,FALSE)</f>
        <v>#N/A</v>
      </c>
      <c r="E51" s="345" t="e">
        <f>VLOOKUP(C51,Уч!$A$2:$L$34,3,FALSE)</f>
        <v>#N/A</v>
      </c>
      <c r="F51" s="639" t="e">
        <f>VLOOKUP(C51,Уч!$A$2:$L$34,5,FALSE)</f>
        <v>#N/A</v>
      </c>
      <c r="G51" s="604">
        <f t="shared" si="16"/>
        <v>15.04</v>
      </c>
      <c r="H51" s="175">
        <f t="shared" si="18"/>
        <v>0</v>
      </c>
      <c r="I51" s="176">
        <f t="shared" si="17"/>
        <v>845</v>
      </c>
      <c r="K51" s="170">
        <v>1504</v>
      </c>
      <c r="L51" s="344">
        <v>0</v>
      </c>
    </row>
    <row r="52" spans="1:12" s="161" customFormat="1" ht="13.2" customHeight="1" outlineLevel="1" x14ac:dyDescent="0.35">
      <c r="A52" s="161">
        <f t="shared" ca="1" si="15"/>
        <v>0.94122450932619584</v>
      </c>
      <c r="B52" s="162">
        <v>6</v>
      </c>
      <c r="C52" s="162">
        <v>39</v>
      </c>
      <c r="D52" s="171" t="str">
        <f>VLOOKUP(C52,Уч!$A$2:$L$34,2,FALSE)</f>
        <v>Левковский Андрей</v>
      </c>
      <c r="E52" s="345" t="str">
        <f>VLOOKUP(C52,Уч!$A$2:$L$34,3,FALSE)</f>
        <v>17.08.1997</v>
      </c>
      <c r="F52" s="639" t="str">
        <f>VLOOKUP(C52,Уч!$A$2:$L$34,5,FALSE)</f>
        <v xml:space="preserve">Кемеровская область  </v>
      </c>
      <c r="G52" s="604">
        <f t="shared" si="16"/>
        <v>15.49</v>
      </c>
      <c r="H52" s="175">
        <f t="shared" si="18"/>
        <v>0</v>
      </c>
      <c r="I52" s="176">
        <f t="shared" si="17"/>
        <v>791</v>
      </c>
      <c r="K52" s="170">
        <v>1549</v>
      </c>
      <c r="L52" s="344">
        <v>0</v>
      </c>
    </row>
    <row r="53" spans="1:12" s="161" customFormat="1" ht="13.2" customHeight="1" outlineLevel="1" x14ac:dyDescent="0.35">
      <c r="A53" s="161">
        <f t="shared" ca="1" si="15"/>
        <v>0.61842844524353169</v>
      </c>
      <c r="B53" s="162">
        <v>7</v>
      </c>
      <c r="C53" s="162">
        <v>2</v>
      </c>
      <c r="D53" s="171" t="str">
        <f>VLOOKUP(C53,Уч!$A$2:$L$34,2,FALSE)</f>
        <v>Игнашев Владимир</v>
      </c>
      <c r="E53" s="345" t="str">
        <f>VLOOKUP(C53,Уч!$A$2:$L$34,3,FALSE)</f>
        <v>05.10.1996</v>
      </c>
      <c r="F53" s="639" t="str">
        <f>VLOOKUP(C53,Уч!$A$2:$L$34,5,FALSE)</f>
        <v xml:space="preserve">Ростовская область  </v>
      </c>
      <c r="G53" s="604">
        <f t="shared" si="16"/>
        <v>15.7</v>
      </c>
      <c r="H53" s="175">
        <f t="shared" si="18"/>
        <v>0</v>
      </c>
      <c r="I53" s="168">
        <f t="shared" si="17"/>
        <v>767</v>
      </c>
      <c r="K53" s="170">
        <v>1570</v>
      </c>
      <c r="L53" s="344">
        <v>0</v>
      </c>
    </row>
    <row r="54" spans="1:12" s="161" customFormat="1" ht="13.2" customHeight="1" outlineLevel="1" x14ac:dyDescent="0.35">
      <c r="A54" s="161">
        <f t="shared" ca="1" si="15"/>
        <v>0.5539446000884396</v>
      </c>
      <c r="B54" s="162">
        <v>8</v>
      </c>
      <c r="C54" s="162"/>
      <c r="D54" s="163" t="e">
        <f>VLOOKUP(C54,Уч!$A$2:$L$34,2,FALSE)</f>
        <v>#N/A</v>
      </c>
      <c r="E54" s="343" t="e">
        <f>VLOOKUP(C54,Уч!$A$2:$L$34,3,FALSE)</f>
        <v>#N/A</v>
      </c>
      <c r="F54" s="638" t="e">
        <f>VLOOKUP(C54,Уч!$A$2:$L$34,5,FALSE)</f>
        <v>#N/A</v>
      </c>
      <c r="G54" s="604">
        <f t="shared" si="16"/>
        <v>0</v>
      </c>
      <c r="H54" s="175">
        <f t="shared" si="18"/>
        <v>0</v>
      </c>
      <c r="I54" s="168">
        <f t="shared" si="17"/>
        <v>0</v>
      </c>
      <c r="K54" s="170"/>
      <c r="L54" s="344"/>
    </row>
    <row r="55" spans="1:12" s="161" customFormat="1" ht="13.2" customHeight="1" outlineLevel="1" x14ac:dyDescent="0.35">
      <c r="B55" s="549"/>
      <c r="C55" s="549"/>
      <c r="D55" s="551"/>
      <c r="E55" s="661"/>
      <c r="F55" s="662"/>
      <c r="G55" s="554"/>
      <c r="H55" s="555"/>
      <c r="I55" s="556"/>
      <c r="K55" s="170"/>
      <c r="L55" s="344"/>
    </row>
    <row r="56" spans="1:12" s="161" customFormat="1" ht="16.05" customHeight="1" outlineLevel="1" x14ac:dyDescent="0.35">
      <c r="B56" s="557" t="s">
        <v>325</v>
      </c>
      <c r="C56" s="549"/>
      <c r="D56" s="551"/>
      <c r="E56" s="661"/>
      <c r="F56" s="662"/>
      <c r="G56" s="554"/>
      <c r="H56" s="555"/>
      <c r="I56" s="556"/>
      <c r="K56" s="170"/>
      <c r="L56" s="344"/>
    </row>
    <row r="57" spans="1:12" s="161" customFormat="1" ht="16.05" customHeight="1" outlineLevel="1" x14ac:dyDescent="0.35">
      <c r="B57" s="557" t="s">
        <v>326</v>
      </c>
      <c r="C57" s="549"/>
      <c r="D57" s="551"/>
      <c r="E57" s="661"/>
      <c r="F57" s="662"/>
      <c r="G57" s="554"/>
      <c r="H57" s="555"/>
      <c r="I57" s="556"/>
      <c r="K57" s="170"/>
      <c r="L57" s="344"/>
    </row>
    <row r="58" spans="1:12" ht="16.05" customHeight="1" x14ac:dyDescent="0.3">
      <c r="A58" s="148"/>
      <c r="B58" s="557" t="s">
        <v>327</v>
      </c>
      <c r="C58" s="182"/>
      <c r="D58" s="201"/>
      <c r="E58" s="354"/>
      <c r="F58" s="317"/>
      <c r="G58" s="355"/>
      <c r="H58" s="356"/>
      <c r="I58" s="202"/>
      <c r="K58" s="145"/>
      <c r="L58" s="210"/>
    </row>
    <row r="59" spans="1:12" ht="13.8" outlineLevel="1" x14ac:dyDescent="0.3">
      <c r="A59" s="148"/>
      <c r="B59" s="148"/>
      <c r="C59" s="178"/>
      <c r="D59" s="158" t="s">
        <v>126</v>
      </c>
      <c r="E59" s="354"/>
      <c r="F59" s="317"/>
      <c r="G59" s="355"/>
      <c r="H59" s="356"/>
      <c r="I59" s="202"/>
      <c r="K59" s="145"/>
      <c r="L59" s="210"/>
    </row>
    <row r="60" spans="1:12" ht="13.8" outlineLevel="1" x14ac:dyDescent="0.3">
      <c r="A60" s="41">
        <f t="shared" ref="A60:A66" ca="1" si="19">RAND()</f>
        <v>4.0659681408075299E-2</v>
      </c>
      <c r="B60" s="220">
        <v>7</v>
      </c>
      <c r="C60" s="162">
        <v>21</v>
      </c>
      <c r="D60" s="221" t="str">
        <f>VLOOKUP(C60,Уч!$A$2:$L$34,2,FALSE)</f>
        <v>Гасленко Кирилл</v>
      </c>
      <c r="E60" s="357">
        <f>VLOOKUP(C60,Уч!$A$2:$L$34,3,FALSE)</f>
        <v>36317</v>
      </c>
      <c r="F60" s="269" t="str">
        <f>VLOOKUP(C60,Уч!$A$2:$L$34,5,FALSE)</f>
        <v xml:space="preserve">Краснодарский край  </v>
      </c>
      <c r="G60" s="358">
        <f t="shared" ref="G60:G66" si="20">K60/100</f>
        <v>0</v>
      </c>
      <c r="H60" s="359">
        <f t="shared" ref="H60:H66" si="21">L60/10</f>
        <v>0</v>
      </c>
      <c r="I60" s="360">
        <f t="shared" ref="I60:I66" si="22">IF(K60&gt;2809,0,IF(K60=0,0,ROUNDDOWN(5.74352*(28.5-K60/100)^1.92,0)))</f>
        <v>0</v>
      </c>
      <c r="K60" s="145"/>
      <c r="L60" s="146"/>
    </row>
    <row r="61" spans="1:12" ht="13.8" outlineLevel="1" x14ac:dyDescent="0.3">
      <c r="A61" s="41">
        <f t="shared" ca="1" si="19"/>
        <v>0.47022627641613068</v>
      </c>
      <c r="B61" s="220">
        <v>2</v>
      </c>
      <c r="C61" s="162">
        <v>28</v>
      </c>
      <c r="D61" s="221" t="e">
        <f>VLOOKUP(C61,Уч!$A$2:$L$34,2,FALSE)</f>
        <v>#N/A</v>
      </c>
      <c r="E61" s="357" t="e">
        <f>VLOOKUP(C61,Уч!$A$2:$L$34,3,FALSE)</f>
        <v>#N/A</v>
      </c>
      <c r="F61" s="269" t="e">
        <f>VLOOKUP(C61,Уч!$A$2:$L$34,5,FALSE)</f>
        <v>#N/A</v>
      </c>
      <c r="G61" s="358">
        <f t="shared" si="20"/>
        <v>0</v>
      </c>
      <c r="H61" s="359">
        <f t="shared" si="21"/>
        <v>0</v>
      </c>
      <c r="I61" s="360">
        <f t="shared" si="22"/>
        <v>0</v>
      </c>
      <c r="K61" s="145"/>
      <c r="L61" s="146"/>
    </row>
    <row r="62" spans="1:12" ht="13.8" outlineLevel="1" x14ac:dyDescent="0.3">
      <c r="A62" s="41">
        <f t="shared" ca="1" si="19"/>
        <v>0.31232311806278135</v>
      </c>
      <c r="B62" s="220">
        <v>3</v>
      </c>
      <c r="C62" s="182">
        <v>38</v>
      </c>
      <c r="D62" s="221" t="e">
        <f>VLOOKUP(C62,Уч!$A$2:$L$34,2,FALSE)</f>
        <v>#N/A</v>
      </c>
      <c r="E62" s="357" t="e">
        <f>VLOOKUP(C62,Уч!$A$2:$L$34,3,FALSE)</f>
        <v>#N/A</v>
      </c>
      <c r="F62" s="269" t="e">
        <f>VLOOKUP(C62,Уч!$A$2:$L$34,5,FALSE)</f>
        <v>#N/A</v>
      </c>
      <c r="G62" s="358">
        <f t="shared" si="20"/>
        <v>0</v>
      </c>
      <c r="H62" s="359">
        <f t="shared" si="21"/>
        <v>0</v>
      </c>
      <c r="I62" s="360">
        <f t="shared" si="22"/>
        <v>0</v>
      </c>
      <c r="K62" s="145"/>
      <c r="L62" s="146"/>
    </row>
    <row r="63" spans="1:12" ht="13.8" outlineLevel="1" x14ac:dyDescent="0.3">
      <c r="A63" s="41">
        <f t="shared" ca="1" si="19"/>
        <v>0.2985408562400379</v>
      </c>
      <c r="B63" s="220">
        <v>6</v>
      </c>
      <c r="C63" s="162">
        <v>39</v>
      </c>
      <c r="D63" s="221" t="str">
        <f>VLOOKUP(C63,Уч!$A$2:$L$34,2,FALSE)</f>
        <v>Левковский Андрей</v>
      </c>
      <c r="E63" s="357" t="str">
        <f>VLOOKUP(C63,Уч!$A$2:$L$34,3,FALSE)</f>
        <v>17.08.1997</v>
      </c>
      <c r="F63" s="269" t="str">
        <f>VLOOKUP(C63,Уч!$A$2:$L$34,5,FALSE)</f>
        <v xml:space="preserve">Кемеровская область  </v>
      </c>
      <c r="G63" s="358">
        <f t="shared" si="20"/>
        <v>0</v>
      </c>
      <c r="H63" s="359">
        <f t="shared" si="21"/>
        <v>0</v>
      </c>
      <c r="I63" s="360">
        <f t="shared" si="22"/>
        <v>0</v>
      </c>
      <c r="K63" s="145"/>
      <c r="L63" s="146"/>
    </row>
    <row r="64" spans="1:12" ht="13.8" outlineLevel="1" x14ac:dyDescent="0.3">
      <c r="A64" s="41">
        <f t="shared" ca="1" si="19"/>
        <v>0.48460038412430662</v>
      </c>
      <c r="B64" s="220">
        <v>4</v>
      </c>
      <c r="C64" s="162">
        <v>40</v>
      </c>
      <c r="D64" s="221" t="str">
        <f>VLOOKUP(C64,Уч!$A$2:$L$34,2,FALSE)</f>
        <v>Черкасов Алексей</v>
      </c>
      <c r="E64" s="357" t="str">
        <f>VLOOKUP(C64,Уч!$A$2:$L$34,3,FALSE)</f>
        <v>22.10.1994</v>
      </c>
      <c r="F64" s="269" t="str">
        <f>VLOOKUP(C64,Уч!$A$2:$L$34,5,FALSE)</f>
        <v xml:space="preserve">Кемеровская область Санкт-Петербург </v>
      </c>
      <c r="G64" s="358">
        <f t="shared" si="20"/>
        <v>0</v>
      </c>
      <c r="H64" s="359">
        <f t="shared" si="21"/>
        <v>0</v>
      </c>
      <c r="I64" s="360">
        <f t="shared" si="22"/>
        <v>0</v>
      </c>
      <c r="K64" s="145"/>
      <c r="L64" s="146"/>
    </row>
    <row r="65" spans="1:12" ht="13.8" outlineLevel="1" x14ac:dyDescent="0.3">
      <c r="A65" s="41">
        <f t="shared" ca="1" si="19"/>
        <v>0.91472870507848569</v>
      </c>
      <c r="B65" s="220">
        <v>1</v>
      </c>
      <c r="C65" s="197">
        <v>41</v>
      </c>
      <c r="D65" s="221" t="str">
        <f>VLOOKUP(C65,Уч!$A$2:$L$34,2,FALSE)</f>
        <v>Фомичев Андрей</v>
      </c>
      <c r="E65" s="357" t="str">
        <f>VLOOKUP(C65,Уч!$A$2:$L$34,3,FALSE)</f>
        <v>15.12.1996</v>
      </c>
      <c r="F65" s="269" t="str">
        <f>VLOOKUP(C65,Уч!$A$2:$L$34,5,FALSE)</f>
        <v xml:space="preserve">Кемеровская область  </v>
      </c>
      <c r="G65" s="358">
        <f t="shared" si="20"/>
        <v>0</v>
      </c>
      <c r="H65" s="359">
        <f t="shared" si="21"/>
        <v>0</v>
      </c>
      <c r="I65" s="360">
        <f t="shared" si="22"/>
        <v>0</v>
      </c>
      <c r="K65" s="332"/>
      <c r="L65" s="146"/>
    </row>
    <row r="66" spans="1:12" ht="13.8" outlineLevel="1" x14ac:dyDescent="0.3">
      <c r="A66" s="41">
        <f t="shared" ca="1" si="19"/>
        <v>1.6194233140198744E-4</v>
      </c>
      <c r="B66" s="220">
        <v>5</v>
      </c>
      <c r="C66" s="162">
        <v>66</v>
      </c>
      <c r="D66" s="221" t="e">
        <f>VLOOKUP(C66,Уч!$A$2:$L$34,2,FALSE)</f>
        <v>#N/A</v>
      </c>
      <c r="E66" s="357" t="e">
        <f>VLOOKUP(C66,Уч!$A$2:$L$34,3,FALSE)</f>
        <v>#N/A</v>
      </c>
      <c r="F66" s="269" t="e">
        <f>VLOOKUP(C66,Уч!$A$2:$L$34,5,FALSE)</f>
        <v>#N/A</v>
      </c>
      <c r="G66" s="358">
        <f t="shared" si="20"/>
        <v>0</v>
      </c>
      <c r="H66" s="359">
        <f t="shared" si="21"/>
        <v>0</v>
      </c>
      <c r="I66" s="360">
        <f t="shared" si="22"/>
        <v>0</v>
      </c>
      <c r="K66" s="145"/>
      <c r="L66" s="146"/>
    </row>
    <row r="67" spans="1:12" ht="9.9" customHeight="1" outlineLevel="1" x14ac:dyDescent="0.3">
      <c r="A67" s="41">
        <f ca="1">RAND()</f>
        <v>0.48257684758181696</v>
      </c>
      <c r="B67" s="220">
        <v>8</v>
      </c>
      <c r="C67" s="177"/>
      <c r="D67" s="321" t="e">
        <f>VLOOKUP(C67,Уч!$A$2:$L$34,2,FALSE)</f>
        <v>#N/A</v>
      </c>
      <c r="E67" s="361" t="e">
        <f>VLOOKUP(C67,Уч!$A$2:$L$34,3,FALSE)</f>
        <v>#N/A</v>
      </c>
      <c r="F67" s="362" t="e">
        <f>VLOOKUP(C67,Уч!$A$2:$L$34,5,FALSE)</f>
        <v>#N/A</v>
      </c>
      <c r="G67" s="358">
        <f>K67/100</f>
        <v>0</v>
      </c>
      <c r="H67" s="359">
        <f>L67/10</f>
        <v>0</v>
      </c>
      <c r="I67" s="360">
        <f>IF(K67&gt;2809,0,IF(K67=0,0,ROUNDDOWN(5.74352*(28.5-K67/100)^1.92,0)))</f>
        <v>0</v>
      </c>
      <c r="K67" s="145"/>
      <c r="L67" s="146"/>
    </row>
  </sheetData>
  <sortState ref="A57:AH63">
    <sortCondition ref="C57:C63"/>
  </sortState>
  <mergeCells count="7">
    <mergeCell ref="B7:H7"/>
    <mergeCell ref="B1:H1"/>
    <mergeCell ref="B2:H2"/>
    <mergeCell ref="B3:H3"/>
    <mergeCell ref="B4:H4"/>
    <mergeCell ref="B5:H5"/>
    <mergeCell ref="B6:H6"/>
  </mergeCells>
  <printOptions horizontalCentere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54"/>
  <sheetViews>
    <sheetView view="pageBreakPreview" zoomScale="85" zoomScaleSheetLayoutView="85" workbookViewId="0">
      <selection activeCell="B56" sqref="B56:B58"/>
    </sheetView>
  </sheetViews>
  <sheetFormatPr defaultColWidth="9.109375" defaultRowHeight="13.2" outlineLevelRow="1" outlineLevelCol="1" x14ac:dyDescent="0.25"/>
  <cols>
    <col min="1" max="1" width="10" style="41" customWidth="1" outlineLevel="1"/>
    <col min="2" max="2" width="5.77734375" style="41" customWidth="1"/>
    <col min="3" max="3" width="5.88671875" style="148" customWidth="1"/>
    <col min="4" max="4" width="20.33203125" style="41" customWidth="1"/>
    <col min="5" max="5" width="8.109375" style="148" customWidth="1"/>
    <col min="6" max="6" width="20.33203125" style="41" customWidth="1"/>
    <col min="7" max="8" width="12.33203125" style="148" customWidth="1" outlineLevel="1"/>
    <col min="9" max="9" width="12.33203125" style="41" customWidth="1" outlineLevel="1"/>
    <col min="10" max="10" width="10.5546875" style="41" customWidth="1"/>
    <col min="11" max="11" width="6.109375" style="149" customWidth="1"/>
    <col min="12" max="12" width="5.6640625" style="149" customWidth="1"/>
    <col min="13" max="13" width="5.109375" style="234" bestFit="1" customWidth="1" outlineLevel="1"/>
    <col min="14" max="15" width="5" style="234" bestFit="1" customWidth="1" outlineLevel="1"/>
    <col min="16" max="16" width="8" style="41" bestFit="1" customWidth="1" outlineLevel="1"/>
    <col min="17" max="16384" width="9.109375" style="41"/>
  </cols>
  <sheetData>
    <row r="1" spans="1:27" ht="13.2" customHeight="1" x14ac:dyDescent="0.25">
      <c r="B1" s="805" t="str">
        <f>Расп!A21</f>
        <v>МИНИСТЕРСТВО СПОРТА РОССИЙСКОЙ ФЕДЕРАЦИИ</v>
      </c>
      <c r="C1" s="805"/>
      <c r="D1" s="805"/>
      <c r="E1" s="805"/>
      <c r="F1" s="805"/>
      <c r="G1" s="805"/>
      <c r="H1" s="805"/>
      <c r="I1" s="805"/>
      <c r="J1" s="805"/>
      <c r="M1" s="243"/>
      <c r="N1" s="243"/>
      <c r="O1" s="243"/>
      <c r="P1" s="145"/>
    </row>
    <row r="2" spans="1:27" ht="13.2" customHeight="1" x14ac:dyDescent="0.25">
      <c r="B2" s="805" t="str">
        <f>Расп!A22</f>
        <v>ВСЕРОССИЙСКАЯ ФЕДЕРАЦИЯ ЛЕГКОЙ АТЛЕТИКИ</v>
      </c>
      <c r="C2" s="805"/>
      <c r="D2" s="805"/>
      <c r="E2" s="805"/>
      <c r="F2" s="805"/>
      <c r="G2" s="805"/>
      <c r="H2" s="805"/>
      <c r="I2" s="805"/>
      <c r="J2" s="805"/>
      <c r="M2" s="243"/>
      <c r="N2" s="243"/>
      <c r="O2" s="243"/>
      <c r="P2" s="145"/>
    </row>
    <row r="3" spans="1:27" ht="13.2" customHeight="1" x14ac:dyDescent="0.25">
      <c r="B3" s="805" t="str">
        <f>Расп!A25</f>
        <v>Командный чемпионат России</v>
      </c>
      <c r="C3" s="805"/>
      <c r="D3" s="805"/>
      <c r="E3" s="805"/>
      <c r="F3" s="805"/>
      <c r="G3" s="805"/>
      <c r="H3" s="805"/>
      <c r="I3" s="805"/>
      <c r="J3" s="805"/>
      <c r="M3" s="243"/>
      <c r="N3" s="243"/>
      <c r="O3" s="243"/>
      <c r="P3" s="145"/>
    </row>
    <row r="4" spans="1:27" ht="13.2" customHeight="1" x14ac:dyDescent="0.25">
      <c r="B4" s="802" t="str">
        <f>Расп!A27</f>
        <v>по многоборью</v>
      </c>
      <c r="C4" s="802"/>
      <c r="D4" s="802"/>
      <c r="E4" s="802"/>
      <c r="F4" s="802"/>
      <c r="G4" s="802"/>
      <c r="H4" s="802"/>
      <c r="I4" s="802"/>
      <c r="J4" s="802"/>
      <c r="M4" s="243"/>
      <c r="N4" s="243"/>
      <c r="O4" s="243"/>
      <c r="P4" s="145"/>
    </row>
    <row r="5" spans="1:27" ht="13.2" customHeight="1" x14ac:dyDescent="0.25">
      <c r="B5" s="802" t="str">
        <f>Расп!A28</f>
        <v>Мужчины</v>
      </c>
      <c r="C5" s="802"/>
      <c r="D5" s="802"/>
      <c r="E5" s="802"/>
      <c r="F5" s="802"/>
      <c r="G5" s="802"/>
      <c r="H5" s="802"/>
      <c r="I5" s="802"/>
      <c r="J5" s="802"/>
      <c r="M5" s="243"/>
      <c r="N5" s="243"/>
      <c r="O5" s="243"/>
      <c r="P5" s="145"/>
    </row>
    <row r="6" spans="1:27" ht="13.2" customHeight="1" x14ac:dyDescent="0.25">
      <c r="B6" s="801" t="s">
        <v>12</v>
      </c>
      <c r="C6" s="801"/>
      <c r="D6" s="801"/>
      <c r="E6" s="801"/>
      <c r="F6" s="801"/>
      <c r="G6" s="801"/>
      <c r="H6" s="801"/>
      <c r="I6" s="801"/>
      <c r="J6" s="801"/>
      <c r="M6" s="243"/>
      <c r="N6" s="243"/>
      <c r="O6" s="243"/>
      <c r="P6" s="145"/>
    </row>
    <row r="7" spans="1:27" ht="13.2" customHeight="1" x14ac:dyDescent="0.25">
      <c r="B7" s="801" t="str">
        <f>Расп!A9</f>
        <v>метание диска (2,0 кг)</v>
      </c>
      <c r="C7" s="801"/>
      <c r="D7" s="801"/>
      <c r="E7" s="801"/>
      <c r="F7" s="801"/>
      <c r="G7" s="801"/>
      <c r="H7" s="801"/>
      <c r="I7" s="801"/>
      <c r="J7" s="801"/>
      <c r="M7" s="243"/>
      <c r="N7" s="243"/>
      <c r="O7" s="243"/>
      <c r="P7" s="145"/>
    </row>
    <row r="8" spans="1:27" ht="13.2" hidden="1" customHeight="1" x14ac:dyDescent="0.3">
      <c r="C8" s="151"/>
      <c r="D8" s="148"/>
      <c r="E8" s="147"/>
      <c r="G8" s="150"/>
      <c r="H8" s="41"/>
      <c r="M8" s="243"/>
      <c r="N8" s="243"/>
      <c r="O8" s="243"/>
      <c r="P8" s="145"/>
    </row>
    <row r="9" spans="1:27" ht="13.2" hidden="1" customHeight="1" x14ac:dyDescent="0.25">
      <c r="C9" s="147"/>
      <c r="D9" s="38"/>
      <c r="G9" s="150"/>
      <c r="H9" s="150"/>
      <c r="I9" s="147"/>
      <c r="J9" s="147"/>
      <c r="M9" s="243"/>
      <c r="N9" s="243"/>
      <c r="O9" s="243"/>
      <c r="P9" s="152" t="s">
        <v>22</v>
      </c>
    </row>
    <row r="10" spans="1:27" ht="13.2" hidden="1" customHeight="1" outlineLevel="1" x14ac:dyDescent="0.3">
      <c r="C10" s="153"/>
      <c r="D10" s="148"/>
      <c r="F10" s="151"/>
      <c r="G10" s="150"/>
      <c r="H10" s="212"/>
      <c r="J10" s="214"/>
      <c r="M10" s="243"/>
      <c r="N10" s="243"/>
      <c r="O10" s="243"/>
      <c r="P10" s="152" t="s">
        <v>23</v>
      </c>
    </row>
    <row r="11" spans="1:27" ht="13.2" hidden="1" customHeight="1" x14ac:dyDescent="0.3">
      <c r="C11" s="153"/>
      <c r="D11" s="148"/>
      <c r="G11" s="151"/>
      <c r="H11" s="41"/>
      <c r="J11" s="214"/>
      <c r="M11" s="243"/>
      <c r="N11" s="243"/>
      <c r="O11" s="243"/>
      <c r="P11" s="152"/>
    </row>
    <row r="12" spans="1:27" ht="13.2" customHeight="1" outlineLevel="1" x14ac:dyDescent="0.3">
      <c r="B12" s="203" t="str">
        <f>Расп!A7</f>
        <v>19.05.2019 г.</v>
      </c>
      <c r="C12" s="153"/>
      <c r="D12" s="148"/>
      <c r="F12" s="606"/>
      <c r="G12" s="151"/>
      <c r="H12" s="41"/>
      <c r="I12" s="206" t="str">
        <f>Расп!B1</f>
        <v>Начало:</v>
      </c>
      <c r="J12" s="207">
        <f>Расп!B9</f>
        <v>0.4513888888888889</v>
      </c>
      <c r="M12" s="243"/>
      <c r="N12" s="243"/>
      <c r="O12" s="243"/>
      <c r="P12" s="152" t="s">
        <v>24</v>
      </c>
    </row>
    <row r="13" spans="1:27" ht="13.2" customHeight="1" x14ac:dyDescent="0.25">
      <c r="B13" s="41" t="str">
        <f>Расп!A26</f>
        <v>г.Сочи, Адлерский район, стадион "Юность"</v>
      </c>
      <c r="I13" s="206" t="str">
        <f>Расп!C1</f>
        <v>Окончание:</v>
      </c>
      <c r="J13" s="250"/>
      <c r="M13" s="243"/>
      <c r="N13" s="243"/>
      <c r="O13" s="243"/>
      <c r="P13" s="145"/>
    </row>
    <row r="14" spans="1:27" s="156" customFormat="1" ht="13.2" customHeight="1" x14ac:dyDescent="0.25">
      <c r="A14" s="154" t="s">
        <v>67</v>
      </c>
      <c r="B14" s="154" t="s">
        <v>260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>
        <v>1</v>
      </c>
      <c r="H14" s="154">
        <v>2</v>
      </c>
      <c r="I14" s="154">
        <v>3</v>
      </c>
      <c r="J14" s="154" t="s">
        <v>19</v>
      </c>
      <c r="K14" s="155" t="s">
        <v>29</v>
      </c>
      <c r="L14" s="157"/>
      <c r="M14" s="244" t="s">
        <v>31</v>
      </c>
      <c r="N14" s="244" t="s">
        <v>32</v>
      </c>
      <c r="O14" s="244" t="s">
        <v>33</v>
      </c>
      <c r="P14" s="152" t="s">
        <v>28</v>
      </c>
    </row>
    <row r="15" spans="1:27" s="156" customFormat="1" ht="13.2" hidden="1" customHeight="1" x14ac:dyDescent="0.25">
      <c r="K15" s="157"/>
      <c r="L15" s="157"/>
      <c r="M15" s="244"/>
      <c r="N15" s="244"/>
      <c r="O15" s="244"/>
      <c r="P15" s="152"/>
    </row>
    <row r="16" spans="1:27" s="287" customFormat="1" ht="13.2" customHeight="1" x14ac:dyDescent="0.35">
      <c r="A16" s="280">
        <f t="shared" ref="A16:A27" ca="1" si="0">RAND()</f>
        <v>0.91199480925377441</v>
      </c>
      <c r="B16" s="363">
        <v>1</v>
      </c>
      <c r="C16" s="162">
        <v>56</v>
      </c>
      <c r="D16" s="365" t="e">
        <f>VLOOKUP(C16,Уч!$A$2:$L$34,2,FALSE)</f>
        <v>#N/A</v>
      </c>
      <c r="E16" s="366" t="e">
        <f>VLOOKUP(C16,Уч!$A$2:$L$34,3,FALSE)</f>
        <v>#N/A</v>
      </c>
      <c r="F16" s="378" t="e">
        <f>VLOOKUP(C16,Уч!$A$2:$L$34,5,FALSE)</f>
        <v>#N/A</v>
      </c>
      <c r="G16" s="608">
        <f t="shared" ref="G16:G26" si="1">IF(M16=0,"X",M16/100)</f>
        <v>37.44</v>
      </c>
      <c r="H16" s="608" t="str">
        <f t="shared" ref="H16:H26" si="2">IF(N16=0,"X",N16/100)</f>
        <v>X</v>
      </c>
      <c r="I16" s="608" t="str">
        <f t="shared" ref="I16:I26" si="3">IF(O16=0,"X",O16/100)</f>
        <v>X</v>
      </c>
      <c r="J16" s="609">
        <f t="shared" ref="J16:J26" si="4">MAX(M16,N16,O16)/100</f>
        <v>37.44</v>
      </c>
      <c r="K16" s="371">
        <f t="shared" ref="K16:K26" si="5">IF(P16&lt;410,0,IF(P16=0,0,ROUNDDOWN(12.91*(P16/100-4)^1.1,0)))</f>
        <v>613</v>
      </c>
      <c r="L16" s="372"/>
      <c r="M16" s="373">
        <v>3744</v>
      </c>
      <c r="N16" s="373">
        <v>0</v>
      </c>
      <c r="O16" s="373">
        <v>0</v>
      </c>
      <c r="P16" s="374">
        <f t="shared" ref="P16:P26" si="6">MAX(M16,N16,O16)</f>
        <v>3744</v>
      </c>
      <c r="Q16" s="280"/>
      <c r="R16" s="231"/>
      <c r="S16" s="231"/>
      <c r="U16" s="280"/>
      <c r="V16" s="280"/>
      <c r="W16" s="280"/>
      <c r="X16" s="280"/>
      <c r="Y16" s="280"/>
      <c r="Z16" s="280"/>
      <c r="AA16" s="280"/>
    </row>
    <row r="17" spans="1:27" s="280" customFormat="1" ht="13.2" customHeight="1" x14ac:dyDescent="0.35">
      <c r="A17" s="280">
        <f t="shared" ca="1" si="0"/>
        <v>3.3389273044545198E-2</v>
      </c>
      <c r="B17" s="363">
        <v>2</v>
      </c>
      <c r="C17" s="162">
        <v>9</v>
      </c>
      <c r="D17" s="365" t="e">
        <f>VLOOKUP(C17,Уч!$A$2:$L$34,2,FALSE)</f>
        <v>#N/A</v>
      </c>
      <c r="E17" s="366" t="e">
        <f>VLOOKUP(C17,Уч!$A$2:$L$34,3,FALSE)</f>
        <v>#N/A</v>
      </c>
      <c r="F17" s="378" t="e">
        <f>VLOOKUP(C17,Уч!$A$2:$L$34,5,FALSE)</f>
        <v>#N/A</v>
      </c>
      <c r="G17" s="608" t="str">
        <f t="shared" si="1"/>
        <v>X</v>
      </c>
      <c r="H17" s="608" t="str">
        <f t="shared" si="2"/>
        <v>X</v>
      </c>
      <c r="I17" s="608" t="str">
        <f t="shared" si="3"/>
        <v>X</v>
      </c>
      <c r="J17" s="609">
        <f t="shared" si="4"/>
        <v>0</v>
      </c>
      <c r="K17" s="371">
        <f t="shared" si="5"/>
        <v>0</v>
      </c>
      <c r="L17" s="372"/>
      <c r="M17" s="373"/>
      <c r="N17" s="373">
        <v>0</v>
      </c>
      <c r="O17" s="373">
        <v>0</v>
      </c>
      <c r="P17" s="374">
        <f t="shared" si="6"/>
        <v>0</v>
      </c>
    </row>
    <row r="18" spans="1:27" s="280" customFormat="1" ht="13.2" customHeight="1" x14ac:dyDescent="0.35">
      <c r="A18" s="280">
        <f t="shared" ca="1" si="0"/>
        <v>0.75040808293203964</v>
      </c>
      <c r="B18" s="363">
        <v>3</v>
      </c>
      <c r="C18" s="162">
        <v>2</v>
      </c>
      <c r="D18" s="365" t="str">
        <f>VLOOKUP(C18,Уч!$A$2:$L$34,2,FALSE)</f>
        <v>Игнашев Владимир</v>
      </c>
      <c r="E18" s="366" t="str">
        <f>VLOOKUP(C18,Уч!$A$2:$L$34,3,FALSE)</f>
        <v>05.10.1996</v>
      </c>
      <c r="F18" s="378" t="str">
        <f>VLOOKUP(C18,Уч!$A$2:$L$34,5,FALSE)</f>
        <v xml:space="preserve">Ростовская область  </v>
      </c>
      <c r="G18" s="608">
        <f t="shared" si="1"/>
        <v>32.450000000000003</v>
      </c>
      <c r="H18" s="608" t="str">
        <f t="shared" si="2"/>
        <v>X</v>
      </c>
      <c r="I18" s="608" t="str">
        <f t="shared" si="3"/>
        <v>X</v>
      </c>
      <c r="J18" s="609">
        <f t="shared" si="4"/>
        <v>32.450000000000003</v>
      </c>
      <c r="K18" s="371">
        <f t="shared" si="5"/>
        <v>513</v>
      </c>
      <c r="L18" s="372"/>
      <c r="M18" s="373">
        <v>3245</v>
      </c>
      <c r="N18" s="373">
        <v>0</v>
      </c>
      <c r="O18" s="373">
        <v>0</v>
      </c>
      <c r="P18" s="374">
        <f t="shared" si="6"/>
        <v>3245</v>
      </c>
    </row>
    <row r="19" spans="1:27" s="280" customFormat="1" ht="13.2" customHeight="1" x14ac:dyDescent="0.35">
      <c r="A19" s="280">
        <f t="shared" ca="1" si="0"/>
        <v>0.2025727935535655</v>
      </c>
      <c r="B19" s="363">
        <v>4</v>
      </c>
      <c r="C19" s="162">
        <v>29</v>
      </c>
      <c r="D19" s="365" t="e">
        <f>VLOOKUP(C19,Уч!$A$2:$L$34,2,FALSE)</f>
        <v>#N/A</v>
      </c>
      <c r="E19" s="366" t="e">
        <f>VLOOKUP(C19,Уч!$A$2:$L$34,3,FALSE)</f>
        <v>#N/A</v>
      </c>
      <c r="F19" s="378" t="e">
        <f>VLOOKUP(C19,Уч!$A$2:$L$34,5,FALSE)</f>
        <v>#N/A</v>
      </c>
      <c r="G19" s="608">
        <f t="shared" si="1"/>
        <v>42.74</v>
      </c>
      <c r="H19" s="608" t="str">
        <f t="shared" si="2"/>
        <v>X</v>
      </c>
      <c r="I19" s="608" t="str">
        <f t="shared" si="3"/>
        <v>X</v>
      </c>
      <c r="J19" s="609">
        <f t="shared" si="4"/>
        <v>42.74</v>
      </c>
      <c r="K19" s="371">
        <f t="shared" si="5"/>
        <v>720</v>
      </c>
      <c r="L19" s="372"/>
      <c r="M19" s="373">
        <v>4274</v>
      </c>
      <c r="N19" s="373">
        <v>0</v>
      </c>
      <c r="O19" s="373">
        <v>0</v>
      </c>
      <c r="P19" s="374">
        <f t="shared" si="6"/>
        <v>4274</v>
      </c>
    </row>
    <row r="20" spans="1:27" s="280" customFormat="1" ht="13.2" customHeight="1" x14ac:dyDescent="0.35">
      <c r="A20" s="280">
        <f t="shared" ca="1" si="0"/>
        <v>0.41270269940106641</v>
      </c>
      <c r="B20" s="363">
        <v>5</v>
      </c>
      <c r="C20" s="162">
        <v>8</v>
      </c>
      <c r="D20" s="365" t="e">
        <f>VLOOKUP(C20,Уч!$A$2:$L$34,2,FALSE)</f>
        <v>#N/A</v>
      </c>
      <c r="E20" s="366" t="e">
        <f>VLOOKUP(C20,Уч!$A$2:$L$34,3,FALSE)</f>
        <v>#N/A</v>
      </c>
      <c r="F20" s="378" t="e">
        <f>VLOOKUP(C20,Уч!$A$2:$L$34,5,FALSE)</f>
        <v>#N/A</v>
      </c>
      <c r="G20" s="608">
        <f t="shared" si="1"/>
        <v>40.01</v>
      </c>
      <c r="H20" s="608" t="str">
        <f t="shared" si="2"/>
        <v>X</v>
      </c>
      <c r="I20" s="608" t="str">
        <f t="shared" si="3"/>
        <v>X</v>
      </c>
      <c r="J20" s="609">
        <f t="shared" si="4"/>
        <v>40.01</v>
      </c>
      <c r="K20" s="371">
        <f t="shared" si="5"/>
        <v>665</v>
      </c>
      <c r="L20" s="372"/>
      <c r="M20" s="373">
        <v>4001</v>
      </c>
      <c r="N20" s="373">
        <v>0</v>
      </c>
      <c r="O20" s="373">
        <v>0</v>
      </c>
      <c r="P20" s="374">
        <f t="shared" si="6"/>
        <v>4001</v>
      </c>
      <c r="Q20" s="280" t="s">
        <v>96</v>
      </c>
    </row>
    <row r="21" spans="1:27" s="280" customFormat="1" ht="13.2" customHeight="1" x14ac:dyDescent="0.35">
      <c r="A21" s="280">
        <f t="shared" ca="1" si="0"/>
        <v>3.9371971999251354E-3</v>
      </c>
      <c r="B21" s="363">
        <v>6</v>
      </c>
      <c r="C21" s="162">
        <v>39</v>
      </c>
      <c r="D21" s="365" t="str">
        <f>VLOOKUP(C21,Уч!$A$2:$L$34,2,FALSE)</f>
        <v>Левковский Андрей</v>
      </c>
      <c r="E21" s="366" t="str">
        <f>VLOOKUP(C21,Уч!$A$2:$L$34,3,FALSE)</f>
        <v>17.08.1997</v>
      </c>
      <c r="F21" s="378" t="str">
        <f>VLOOKUP(C21,Уч!$A$2:$L$34,5,FALSE)</f>
        <v xml:space="preserve">Кемеровская область  </v>
      </c>
      <c r="G21" s="608">
        <f t="shared" si="1"/>
        <v>39.51</v>
      </c>
      <c r="H21" s="608" t="str">
        <f t="shared" si="2"/>
        <v>X</v>
      </c>
      <c r="I21" s="608" t="str">
        <f t="shared" si="3"/>
        <v>X</v>
      </c>
      <c r="J21" s="609">
        <f t="shared" si="4"/>
        <v>39.51</v>
      </c>
      <c r="K21" s="371">
        <f t="shared" si="5"/>
        <v>655</v>
      </c>
      <c r="L21" s="372"/>
      <c r="M21" s="373">
        <v>3951</v>
      </c>
      <c r="N21" s="373">
        <v>0</v>
      </c>
      <c r="O21" s="373">
        <v>0</v>
      </c>
      <c r="P21" s="374">
        <f t="shared" si="6"/>
        <v>3951</v>
      </c>
    </row>
    <row r="22" spans="1:27" s="280" customFormat="1" ht="13.2" customHeight="1" x14ac:dyDescent="0.35">
      <c r="A22" s="280">
        <f t="shared" ca="1" si="0"/>
        <v>0.16296565610079805</v>
      </c>
      <c r="B22" s="363">
        <v>7</v>
      </c>
      <c r="C22" s="162">
        <v>45</v>
      </c>
      <c r="D22" s="365" t="str">
        <f>VLOOKUP(C22,Уч!$A$2:$L$34,2,FALSE)</f>
        <v>Бочаринский Данила</v>
      </c>
      <c r="E22" s="366" t="str">
        <f>VLOOKUP(C22,Уч!$A$2:$L$34,3,FALSE)</f>
        <v>12.01.1999</v>
      </c>
      <c r="F22" s="378" t="str">
        <f>VLOOKUP(C22,Уч!$A$2:$L$34,5,FALSE)</f>
        <v xml:space="preserve">Кемеровская область  </v>
      </c>
      <c r="G22" s="608">
        <f t="shared" si="1"/>
        <v>35.54</v>
      </c>
      <c r="H22" s="608" t="str">
        <f t="shared" si="2"/>
        <v>X</v>
      </c>
      <c r="I22" s="608" t="str">
        <f t="shared" si="3"/>
        <v>X</v>
      </c>
      <c r="J22" s="609">
        <f t="shared" si="4"/>
        <v>35.54</v>
      </c>
      <c r="K22" s="371">
        <f t="shared" si="5"/>
        <v>575</v>
      </c>
      <c r="L22" s="372"/>
      <c r="M22" s="373">
        <v>3554</v>
      </c>
      <c r="N22" s="373">
        <v>0</v>
      </c>
      <c r="O22" s="373">
        <v>0</v>
      </c>
      <c r="P22" s="374">
        <f t="shared" si="6"/>
        <v>3554</v>
      </c>
      <c r="V22" s="287"/>
      <c r="W22" s="287"/>
      <c r="X22" s="287"/>
      <c r="Y22" s="287"/>
      <c r="Z22" s="287"/>
      <c r="AA22" s="287"/>
    </row>
    <row r="23" spans="1:27" s="280" customFormat="1" ht="13.2" customHeight="1" x14ac:dyDescent="0.35">
      <c r="A23" s="280">
        <f t="shared" ca="1" si="0"/>
        <v>0.9370762776092374</v>
      </c>
      <c r="B23" s="363">
        <v>8</v>
      </c>
      <c r="C23" s="162">
        <v>54</v>
      </c>
      <c r="D23" s="365" t="e">
        <f>VLOOKUP(C23,Уч!$A$2:$L$34,2,FALSE)</f>
        <v>#N/A</v>
      </c>
      <c r="E23" s="366" t="e">
        <f>VLOOKUP(C23,Уч!$A$2:$L$34,3,FALSE)</f>
        <v>#N/A</v>
      </c>
      <c r="F23" s="378" t="e">
        <f>VLOOKUP(C23,Уч!$A$2:$L$34,5,FALSE)</f>
        <v>#N/A</v>
      </c>
      <c r="G23" s="608">
        <f t="shared" si="1"/>
        <v>32.299999999999997</v>
      </c>
      <c r="H23" s="608" t="str">
        <f t="shared" si="2"/>
        <v>X</v>
      </c>
      <c r="I23" s="608" t="str">
        <f t="shared" si="3"/>
        <v>X</v>
      </c>
      <c r="J23" s="609">
        <f t="shared" si="4"/>
        <v>32.299999999999997</v>
      </c>
      <c r="K23" s="371">
        <f t="shared" si="5"/>
        <v>510</v>
      </c>
      <c r="L23" s="372"/>
      <c r="M23" s="373">
        <v>3230</v>
      </c>
      <c r="N23" s="373">
        <v>0</v>
      </c>
      <c r="O23" s="373">
        <v>0</v>
      </c>
      <c r="P23" s="374">
        <f t="shared" si="6"/>
        <v>3230</v>
      </c>
    </row>
    <row r="24" spans="1:27" s="280" customFormat="1" ht="13.2" customHeight="1" x14ac:dyDescent="0.35">
      <c r="A24" s="280">
        <f t="shared" ca="1" si="0"/>
        <v>7.6276486295023926E-2</v>
      </c>
      <c r="B24" s="363">
        <v>9</v>
      </c>
      <c r="C24" s="162">
        <v>40</v>
      </c>
      <c r="D24" s="365" t="str">
        <f>VLOOKUP(C24,Уч!$A$2:$L$34,2,FALSE)</f>
        <v>Черкасов Алексей</v>
      </c>
      <c r="E24" s="366" t="str">
        <f>VLOOKUP(C24,Уч!$A$2:$L$34,3,FALSE)</f>
        <v>22.10.1994</v>
      </c>
      <c r="F24" s="378" t="str">
        <f>VLOOKUP(C24,Уч!$A$2:$L$34,5,FALSE)</f>
        <v xml:space="preserve">Кемеровская область Санкт-Петербург </v>
      </c>
      <c r="G24" s="608">
        <f t="shared" si="1"/>
        <v>32.729999999999997</v>
      </c>
      <c r="H24" s="608" t="str">
        <f t="shared" si="2"/>
        <v>X</v>
      </c>
      <c r="I24" s="608" t="str">
        <f t="shared" si="3"/>
        <v>X</v>
      </c>
      <c r="J24" s="609">
        <f t="shared" si="4"/>
        <v>32.729999999999997</v>
      </c>
      <c r="K24" s="371">
        <f t="shared" si="5"/>
        <v>518</v>
      </c>
      <c r="L24" s="372"/>
      <c r="M24" s="373">
        <v>3273</v>
      </c>
      <c r="N24" s="373">
        <v>0</v>
      </c>
      <c r="O24" s="373">
        <v>0</v>
      </c>
      <c r="P24" s="374">
        <f t="shared" si="6"/>
        <v>3273</v>
      </c>
      <c r="V24" s="287"/>
      <c r="W24" s="287"/>
      <c r="X24" s="287"/>
      <c r="Y24" s="287"/>
    </row>
    <row r="25" spans="1:27" s="280" customFormat="1" ht="13.2" customHeight="1" x14ac:dyDescent="0.35">
      <c r="A25" s="280">
        <f t="shared" ca="1" si="0"/>
        <v>0.4277100355878497</v>
      </c>
      <c r="B25" s="363">
        <v>10</v>
      </c>
      <c r="C25" s="162">
        <v>35</v>
      </c>
      <c r="D25" s="365" t="e">
        <f>VLOOKUP(C25,Уч!$A$2:$L$34,2,FALSE)</f>
        <v>#N/A</v>
      </c>
      <c r="E25" s="366" t="e">
        <f>VLOOKUP(C25,Уч!$A$2:$L$34,3,FALSE)</f>
        <v>#N/A</v>
      </c>
      <c r="F25" s="378" t="e">
        <f>VLOOKUP(C25,Уч!$A$2:$L$34,5,FALSE)</f>
        <v>#N/A</v>
      </c>
      <c r="G25" s="608">
        <f t="shared" si="1"/>
        <v>36</v>
      </c>
      <c r="H25" s="608" t="str">
        <f t="shared" si="2"/>
        <v>X</v>
      </c>
      <c r="I25" s="608" t="str">
        <f t="shared" si="3"/>
        <v>X</v>
      </c>
      <c r="J25" s="609">
        <f t="shared" si="4"/>
        <v>36</v>
      </c>
      <c r="K25" s="371">
        <f t="shared" si="5"/>
        <v>584</v>
      </c>
      <c r="L25" s="372"/>
      <c r="M25" s="373">
        <v>3600</v>
      </c>
      <c r="N25" s="373">
        <v>0</v>
      </c>
      <c r="O25" s="373">
        <v>0</v>
      </c>
      <c r="P25" s="374">
        <f t="shared" si="6"/>
        <v>3600</v>
      </c>
    </row>
    <row r="26" spans="1:27" s="280" customFormat="1" ht="13.2" customHeight="1" x14ac:dyDescent="0.35">
      <c r="A26" s="280">
        <f t="shared" ca="1" si="0"/>
        <v>0.69404117908164409</v>
      </c>
      <c r="B26" s="363">
        <v>11</v>
      </c>
      <c r="C26" s="162">
        <v>68</v>
      </c>
      <c r="D26" s="365" t="e">
        <f>VLOOKUP(C26,Уч!$A$2:$L$34,2,FALSE)</f>
        <v>#N/A</v>
      </c>
      <c r="E26" s="366" t="e">
        <f>VLOOKUP(C26,Уч!$A$2:$L$34,3,FALSE)</f>
        <v>#N/A</v>
      </c>
      <c r="F26" s="378" t="e">
        <f>VLOOKUP(C26,Уч!$A$2:$L$34,5,FALSE)</f>
        <v>#N/A</v>
      </c>
      <c r="G26" s="608">
        <f t="shared" si="1"/>
        <v>43.32</v>
      </c>
      <c r="H26" s="608" t="str">
        <f t="shared" si="2"/>
        <v>X</v>
      </c>
      <c r="I26" s="608" t="str">
        <f t="shared" si="3"/>
        <v>X</v>
      </c>
      <c r="J26" s="609">
        <f t="shared" si="4"/>
        <v>43.32</v>
      </c>
      <c r="K26" s="371">
        <f t="shared" si="5"/>
        <v>732</v>
      </c>
      <c r="L26" s="372"/>
      <c r="M26" s="373">
        <v>4332</v>
      </c>
      <c r="N26" s="373">
        <v>0</v>
      </c>
      <c r="O26" s="373">
        <v>0</v>
      </c>
      <c r="P26" s="374">
        <f t="shared" si="6"/>
        <v>4332</v>
      </c>
    </row>
    <row r="27" spans="1:27" s="280" customFormat="1" ht="13.2" customHeight="1" x14ac:dyDescent="0.25">
      <c r="A27" s="280">
        <f t="shared" ca="1" si="0"/>
        <v>0.70609354332301311</v>
      </c>
      <c r="B27" s="363">
        <v>12</v>
      </c>
      <c r="C27" s="197">
        <v>44</v>
      </c>
      <c r="D27" s="365" t="str">
        <f>VLOOKUP(C27,Уч!$A$2:$L$34,2,FALSE)</f>
        <v>Хамедов Игорь</v>
      </c>
      <c r="E27" s="366" t="str">
        <f>VLOOKUP(C27,Уч!$A$2:$L$34,3,FALSE)</f>
        <v>30.05.1998</v>
      </c>
      <c r="F27" s="378" t="str">
        <f>VLOOKUP(C27,Уч!$A$2:$L$34,5,FALSE)</f>
        <v xml:space="preserve">Кемеровская область  </v>
      </c>
      <c r="G27" s="608">
        <f>IF(M27=0,"X",M27/100)</f>
        <v>33.67</v>
      </c>
      <c r="H27" s="608" t="str">
        <f>IF(N27=0,"X",N27/100)</f>
        <v>X</v>
      </c>
      <c r="I27" s="608" t="str">
        <f>IF(O27=0,"X",O27/100)</f>
        <v>X</v>
      </c>
      <c r="J27" s="609">
        <f>MAX(M27,N27,O27)/100</f>
        <v>33.67</v>
      </c>
      <c r="K27" s="371">
        <f>IF(P27&lt;410,0,IF(P27=0,0,ROUNDDOWN(12.91*(P27/100-4)^1.1,0)))</f>
        <v>537</v>
      </c>
      <c r="L27" s="372"/>
      <c r="M27" s="373">
        <v>3367</v>
      </c>
      <c r="N27" s="373">
        <v>0</v>
      </c>
      <c r="O27" s="373">
        <v>0</v>
      </c>
      <c r="P27" s="374">
        <f>MAX(M27,N27,O27)</f>
        <v>3367</v>
      </c>
    </row>
    <row r="28" spans="1:27" s="280" customFormat="1" ht="13.2" customHeight="1" x14ac:dyDescent="0.35">
      <c r="B28" s="363">
        <v>13</v>
      </c>
      <c r="C28" s="162">
        <v>62</v>
      </c>
      <c r="D28" s="365" t="e">
        <f>VLOOKUP(C28,Уч!$A$2:$L$34,2,FALSE)</f>
        <v>#N/A</v>
      </c>
      <c r="E28" s="366" t="e">
        <f>VLOOKUP(C28,Уч!$A$2:$L$34,3,FALSE)</f>
        <v>#N/A</v>
      </c>
      <c r="F28" s="378" t="e">
        <f>VLOOKUP(C28,Уч!$A$2:$L$34,5,FALSE)</f>
        <v>#N/A</v>
      </c>
      <c r="G28" s="608" t="str">
        <f t="shared" ref="G28:G38" si="7">IF(M28=0,"X",M28/100)</f>
        <v>X</v>
      </c>
      <c r="H28" s="608" t="str">
        <f t="shared" ref="H28:H38" si="8">IF(N28=0,"X",N28/100)</f>
        <v>X</v>
      </c>
      <c r="I28" s="608" t="str">
        <f t="shared" ref="I28:I38" si="9">IF(O28=0,"X",O28/100)</f>
        <v>X</v>
      </c>
      <c r="J28" s="609">
        <f t="shared" ref="J28:J38" si="10">MAX(M28,N28,O28)/100</f>
        <v>0</v>
      </c>
      <c r="K28" s="371">
        <f t="shared" ref="K28:K38" si="11">IF(P28&lt;410,0,IF(P28=0,0,ROUNDDOWN(12.91*(P28/100-4)^1.1,0)))</f>
        <v>0</v>
      </c>
      <c r="L28" s="372"/>
      <c r="M28" s="373"/>
      <c r="N28" s="373">
        <v>0</v>
      </c>
      <c r="O28" s="373">
        <v>0</v>
      </c>
      <c r="P28" s="374">
        <f t="shared" ref="P28:P38" si="12">MAX(M28,N28,O28)</f>
        <v>0</v>
      </c>
    </row>
    <row r="29" spans="1:27" s="280" customFormat="1" ht="13.2" customHeight="1" x14ac:dyDescent="0.35">
      <c r="B29" s="363">
        <v>14</v>
      </c>
      <c r="C29" s="162">
        <v>70</v>
      </c>
      <c r="D29" s="365" t="e">
        <f>VLOOKUP(C29,Уч!$A$2:$L$34,2,FALSE)</f>
        <v>#N/A</v>
      </c>
      <c r="E29" s="366" t="e">
        <f>VLOOKUP(C29,Уч!$A$2:$L$34,3,FALSE)</f>
        <v>#N/A</v>
      </c>
      <c r="F29" s="378" t="e">
        <f>VLOOKUP(C29,Уч!$A$2:$L$34,5,FALSE)</f>
        <v>#N/A</v>
      </c>
      <c r="G29" s="608">
        <f t="shared" si="7"/>
        <v>28.5</v>
      </c>
      <c r="H29" s="608" t="str">
        <f t="shared" si="8"/>
        <v>X</v>
      </c>
      <c r="I29" s="608" t="str">
        <f t="shared" si="9"/>
        <v>X</v>
      </c>
      <c r="J29" s="609">
        <f t="shared" si="10"/>
        <v>28.5</v>
      </c>
      <c r="K29" s="371">
        <f t="shared" si="11"/>
        <v>435</v>
      </c>
      <c r="L29" s="372"/>
      <c r="M29" s="373">
        <v>2850</v>
      </c>
      <c r="N29" s="373">
        <v>0</v>
      </c>
      <c r="O29" s="373">
        <v>0</v>
      </c>
      <c r="P29" s="374">
        <f t="shared" si="12"/>
        <v>2850</v>
      </c>
    </row>
    <row r="30" spans="1:27" s="280" customFormat="1" ht="13.2" customHeight="1" x14ac:dyDescent="0.35">
      <c r="B30" s="363">
        <v>15</v>
      </c>
      <c r="C30" s="162">
        <v>24</v>
      </c>
      <c r="D30" s="365" t="e">
        <f>VLOOKUP(C30,Уч!$A$2:$L$34,2,FALSE)</f>
        <v>#N/A</v>
      </c>
      <c r="E30" s="366" t="e">
        <f>VLOOKUP(C30,Уч!$A$2:$L$34,3,FALSE)</f>
        <v>#N/A</v>
      </c>
      <c r="F30" s="378" t="e">
        <f>VLOOKUP(C30,Уч!$A$2:$L$34,5,FALSE)</f>
        <v>#N/A</v>
      </c>
      <c r="G30" s="608">
        <f t="shared" si="7"/>
        <v>29.35</v>
      </c>
      <c r="H30" s="608" t="str">
        <f t="shared" si="8"/>
        <v>X</v>
      </c>
      <c r="I30" s="608" t="str">
        <f t="shared" si="9"/>
        <v>X</v>
      </c>
      <c r="J30" s="609">
        <f t="shared" si="10"/>
        <v>29.35</v>
      </c>
      <c r="K30" s="371">
        <f t="shared" si="11"/>
        <v>452</v>
      </c>
      <c r="L30" s="372"/>
      <c r="M30" s="373">
        <v>2935</v>
      </c>
      <c r="N30" s="373">
        <v>0</v>
      </c>
      <c r="O30" s="373">
        <v>0</v>
      </c>
      <c r="P30" s="374">
        <f t="shared" si="12"/>
        <v>2935</v>
      </c>
    </row>
    <row r="31" spans="1:27" s="280" customFormat="1" ht="13.2" customHeight="1" x14ac:dyDescent="0.35">
      <c r="B31" s="363">
        <v>16</v>
      </c>
      <c r="C31" s="162">
        <v>69</v>
      </c>
      <c r="D31" s="365" t="e">
        <f>VLOOKUP(C31,Уч!$A$2:$L$34,2,FALSE)</f>
        <v>#N/A</v>
      </c>
      <c r="E31" s="366" t="e">
        <f>VLOOKUP(C31,Уч!$A$2:$L$34,3,FALSE)</f>
        <v>#N/A</v>
      </c>
      <c r="F31" s="378" t="e">
        <f>VLOOKUP(C31,Уч!$A$2:$L$34,5,FALSE)</f>
        <v>#N/A</v>
      </c>
      <c r="G31" s="608">
        <f t="shared" si="7"/>
        <v>30.38</v>
      </c>
      <c r="H31" s="608" t="str">
        <f t="shared" si="8"/>
        <v>X</v>
      </c>
      <c r="I31" s="608" t="str">
        <f t="shared" si="9"/>
        <v>X</v>
      </c>
      <c r="J31" s="609">
        <f t="shared" si="10"/>
        <v>30.38</v>
      </c>
      <c r="K31" s="371">
        <f t="shared" si="11"/>
        <v>472</v>
      </c>
      <c r="L31" s="372"/>
      <c r="M31" s="373">
        <v>3038</v>
      </c>
      <c r="N31" s="373">
        <v>0</v>
      </c>
      <c r="O31" s="373">
        <v>0</v>
      </c>
      <c r="P31" s="374">
        <f t="shared" si="12"/>
        <v>3038</v>
      </c>
    </row>
    <row r="32" spans="1:27" s="280" customFormat="1" ht="13.2" customHeight="1" x14ac:dyDescent="0.35">
      <c r="B32" s="363">
        <v>17</v>
      </c>
      <c r="C32" s="162">
        <v>26</v>
      </c>
      <c r="D32" s="365" t="e">
        <f>VLOOKUP(C32,Уч!$A$2:$L$34,2,FALSE)</f>
        <v>#N/A</v>
      </c>
      <c r="E32" s="366" t="e">
        <f>VLOOKUP(C32,Уч!$A$2:$L$34,3,FALSE)</f>
        <v>#N/A</v>
      </c>
      <c r="F32" s="378" t="e">
        <f>VLOOKUP(C32,Уч!$A$2:$L$34,5,FALSE)</f>
        <v>#N/A</v>
      </c>
      <c r="G32" s="608">
        <f t="shared" si="7"/>
        <v>41.15</v>
      </c>
      <c r="H32" s="608" t="str">
        <f t="shared" si="8"/>
        <v>X</v>
      </c>
      <c r="I32" s="608" t="str">
        <f t="shared" si="9"/>
        <v>X</v>
      </c>
      <c r="J32" s="609">
        <f t="shared" si="10"/>
        <v>41.15</v>
      </c>
      <c r="K32" s="371">
        <f t="shared" si="11"/>
        <v>688</v>
      </c>
      <c r="L32" s="372"/>
      <c r="M32" s="373">
        <v>4115</v>
      </c>
      <c r="N32" s="373">
        <v>0</v>
      </c>
      <c r="O32" s="373">
        <v>0</v>
      </c>
      <c r="P32" s="374">
        <f t="shared" si="12"/>
        <v>4115</v>
      </c>
    </row>
    <row r="33" spans="1:25" s="280" customFormat="1" ht="13.2" customHeight="1" x14ac:dyDescent="0.35">
      <c r="B33" s="363">
        <v>18</v>
      </c>
      <c r="C33" s="162">
        <v>80</v>
      </c>
      <c r="D33" s="365" t="e">
        <f>VLOOKUP(C33,Уч!$A$2:$L$34,2,FALSE)</f>
        <v>#N/A</v>
      </c>
      <c r="E33" s="366" t="e">
        <f>VLOOKUP(C33,Уч!$A$2:$L$34,3,FALSE)</f>
        <v>#N/A</v>
      </c>
      <c r="F33" s="378" t="e">
        <f>VLOOKUP(C33,Уч!$A$2:$L$34,5,FALSE)</f>
        <v>#N/A</v>
      </c>
      <c r="G33" s="608">
        <f t="shared" si="7"/>
        <v>34.909999999999997</v>
      </c>
      <c r="H33" s="608" t="str">
        <f t="shared" si="8"/>
        <v>X</v>
      </c>
      <c r="I33" s="608" t="str">
        <f t="shared" si="9"/>
        <v>X</v>
      </c>
      <c r="J33" s="609">
        <f t="shared" si="10"/>
        <v>34.909999999999997</v>
      </c>
      <c r="K33" s="371">
        <f t="shared" si="11"/>
        <v>562</v>
      </c>
      <c r="L33" s="372"/>
      <c r="M33" s="373">
        <v>3491</v>
      </c>
      <c r="N33" s="373">
        <v>0</v>
      </c>
      <c r="O33" s="373">
        <v>0</v>
      </c>
      <c r="P33" s="374">
        <f t="shared" si="12"/>
        <v>3491</v>
      </c>
    </row>
    <row r="34" spans="1:25" s="280" customFormat="1" ht="13.2" customHeight="1" x14ac:dyDescent="0.35">
      <c r="B34" s="363">
        <v>19</v>
      </c>
      <c r="C34" s="304">
        <v>78</v>
      </c>
      <c r="D34" s="365" t="str">
        <f>VLOOKUP(C34,Уч!$A$2:$L$34,2,FALSE)</f>
        <v>Слаква Максим</v>
      </c>
      <c r="E34" s="366" t="str">
        <f>VLOOKUP(C34,Уч!$A$2:$L$34,3,FALSE)</f>
        <v>10.05.1998</v>
      </c>
      <c r="F34" s="378" t="str">
        <f>VLOOKUP(C34,Уч!$A$2:$L$34,5,FALSE)</f>
        <v xml:space="preserve">Ставропольский край  </v>
      </c>
      <c r="G34" s="608">
        <f t="shared" si="7"/>
        <v>23.43</v>
      </c>
      <c r="H34" s="608" t="str">
        <f t="shared" si="8"/>
        <v>X</v>
      </c>
      <c r="I34" s="608" t="str">
        <f t="shared" si="9"/>
        <v>X</v>
      </c>
      <c r="J34" s="609">
        <f t="shared" si="10"/>
        <v>23.43</v>
      </c>
      <c r="K34" s="371">
        <f t="shared" si="11"/>
        <v>337</v>
      </c>
      <c r="L34" s="372"/>
      <c r="M34" s="373">
        <v>2343</v>
      </c>
      <c r="N34" s="373">
        <v>0</v>
      </c>
      <c r="O34" s="373">
        <v>0</v>
      </c>
      <c r="P34" s="374">
        <f t="shared" si="12"/>
        <v>2343</v>
      </c>
    </row>
    <row r="35" spans="1:25" s="280" customFormat="1" ht="13.2" customHeight="1" x14ac:dyDescent="0.35">
      <c r="B35" s="363">
        <v>20</v>
      </c>
      <c r="C35" s="162">
        <v>41</v>
      </c>
      <c r="D35" s="365" t="str">
        <f>VLOOKUP(C35,Уч!$A$2:$L$34,2,FALSE)</f>
        <v>Фомичев Андрей</v>
      </c>
      <c r="E35" s="366" t="str">
        <f>VLOOKUP(C35,Уч!$A$2:$L$34,3,FALSE)</f>
        <v>15.12.1996</v>
      </c>
      <c r="F35" s="378" t="str">
        <f>VLOOKUP(C35,Уч!$A$2:$L$34,5,FALSE)</f>
        <v xml:space="preserve">Кемеровская область  </v>
      </c>
      <c r="G35" s="608">
        <f t="shared" si="7"/>
        <v>33.42</v>
      </c>
      <c r="H35" s="608" t="str">
        <f t="shared" si="8"/>
        <v>X</v>
      </c>
      <c r="I35" s="608" t="str">
        <f t="shared" si="9"/>
        <v>X</v>
      </c>
      <c r="J35" s="609">
        <f t="shared" si="10"/>
        <v>33.42</v>
      </c>
      <c r="K35" s="371">
        <f t="shared" si="11"/>
        <v>532</v>
      </c>
      <c r="L35" s="372"/>
      <c r="M35" s="373">
        <v>3342</v>
      </c>
      <c r="N35" s="373">
        <v>0</v>
      </c>
      <c r="O35" s="373">
        <v>0</v>
      </c>
      <c r="P35" s="374">
        <f t="shared" si="12"/>
        <v>3342</v>
      </c>
    </row>
    <row r="36" spans="1:25" s="280" customFormat="1" ht="13.2" customHeight="1" x14ac:dyDescent="0.35">
      <c r="B36" s="363">
        <v>21</v>
      </c>
      <c r="C36" s="162">
        <v>50</v>
      </c>
      <c r="D36" s="365" t="e">
        <f>VLOOKUP(C36,Уч!$A$2:$L$34,2,FALSE)</f>
        <v>#N/A</v>
      </c>
      <c r="E36" s="366" t="e">
        <f>VLOOKUP(C36,Уч!$A$2:$L$34,3,FALSE)</f>
        <v>#N/A</v>
      </c>
      <c r="F36" s="378" t="e">
        <f>VLOOKUP(C36,Уч!$A$2:$L$34,5,FALSE)</f>
        <v>#N/A</v>
      </c>
      <c r="G36" s="608">
        <f t="shared" si="7"/>
        <v>32.69</v>
      </c>
      <c r="H36" s="608" t="str">
        <f t="shared" si="8"/>
        <v>X</v>
      </c>
      <c r="I36" s="608" t="str">
        <f t="shared" si="9"/>
        <v>X</v>
      </c>
      <c r="J36" s="609">
        <f t="shared" si="10"/>
        <v>32.69</v>
      </c>
      <c r="K36" s="371">
        <f t="shared" si="11"/>
        <v>518</v>
      </c>
      <c r="L36" s="372"/>
      <c r="M36" s="373">
        <v>3269</v>
      </c>
      <c r="N36" s="373">
        <v>0</v>
      </c>
      <c r="O36" s="373">
        <v>0</v>
      </c>
      <c r="P36" s="374">
        <f t="shared" si="12"/>
        <v>3269</v>
      </c>
    </row>
    <row r="37" spans="1:25" s="280" customFormat="1" ht="13.2" customHeight="1" x14ac:dyDescent="0.35">
      <c r="B37" s="363">
        <v>22</v>
      </c>
      <c r="C37" s="162">
        <v>63</v>
      </c>
      <c r="D37" s="365" t="e">
        <f>VLOOKUP(C37,Уч!$A$2:$L$34,2,FALSE)</f>
        <v>#N/A</v>
      </c>
      <c r="E37" s="366" t="e">
        <f>VLOOKUP(C37,Уч!$A$2:$L$34,3,FALSE)</f>
        <v>#N/A</v>
      </c>
      <c r="F37" s="378" t="e">
        <f>VLOOKUP(C37,Уч!$A$2:$L$34,5,FALSE)</f>
        <v>#N/A</v>
      </c>
      <c r="G37" s="608">
        <f t="shared" si="7"/>
        <v>30.59</v>
      </c>
      <c r="H37" s="608" t="str">
        <f t="shared" si="8"/>
        <v>X</v>
      </c>
      <c r="I37" s="608" t="str">
        <f t="shared" si="9"/>
        <v>X</v>
      </c>
      <c r="J37" s="609">
        <f t="shared" si="10"/>
        <v>30.59</v>
      </c>
      <c r="K37" s="371">
        <f t="shared" si="11"/>
        <v>476</v>
      </c>
      <c r="L37" s="372"/>
      <c r="M37" s="373">
        <v>3059</v>
      </c>
      <c r="N37" s="373">
        <v>0</v>
      </c>
      <c r="O37" s="373">
        <v>0</v>
      </c>
      <c r="P37" s="374">
        <f t="shared" si="12"/>
        <v>3059</v>
      </c>
    </row>
    <row r="38" spans="1:25" s="280" customFormat="1" ht="13.2" customHeight="1" x14ac:dyDescent="0.35">
      <c r="B38" s="363">
        <v>23</v>
      </c>
      <c r="C38" s="162">
        <v>81</v>
      </c>
      <c r="D38" s="365" t="str">
        <f>VLOOKUP(C38,Уч!$A$2:$L$34,2,FALSE)</f>
        <v>Исаев Максим</v>
      </c>
      <c r="E38" s="366" t="str">
        <f>VLOOKUP(C38,Уч!$A$2:$L$34,3,FALSE)</f>
        <v>10.07.1997</v>
      </c>
      <c r="F38" s="378" t="str">
        <f>VLOOKUP(C38,Уч!$A$2:$L$34,5,FALSE)</f>
        <v xml:space="preserve">Челябинская область  </v>
      </c>
      <c r="G38" s="608">
        <f t="shared" si="7"/>
        <v>32.9</v>
      </c>
      <c r="H38" s="608" t="str">
        <f t="shared" si="8"/>
        <v>X</v>
      </c>
      <c r="I38" s="608" t="str">
        <f t="shared" si="9"/>
        <v>X</v>
      </c>
      <c r="J38" s="609">
        <f t="shared" si="10"/>
        <v>32.9</v>
      </c>
      <c r="K38" s="371">
        <f t="shared" si="11"/>
        <v>522</v>
      </c>
      <c r="L38" s="372"/>
      <c r="M38" s="373">
        <v>3290</v>
      </c>
      <c r="N38" s="373">
        <v>0</v>
      </c>
      <c r="O38" s="373">
        <v>0</v>
      </c>
      <c r="P38" s="374">
        <f t="shared" si="12"/>
        <v>3290</v>
      </c>
    </row>
    <row r="39" spans="1:25" s="280" customFormat="1" ht="6" customHeight="1" x14ac:dyDescent="0.35">
      <c r="A39" s="280">
        <f t="shared" ref="A39:A44" ca="1" si="13">RAND()</f>
        <v>0.79169369677777435</v>
      </c>
      <c r="B39" s="618"/>
      <c r="C39" s="619"/>
      <c r="D39" s="620"/>
      <c r="E39" s="621"/>
      <c r="F39" s="622"/>
      <c r="G39" s="623"/>
      <c r="H39" s="623"/>
      <c r="I39" s="623"/>
      <c r="J39" s="624"/>
      <c r="K39" s="610"/>
      <c r="L39" s="372"/>
      <c r="M39" s="373"/>
      <c r="N39" s="373">
        <v>0</v>
      </c>
      <c r="O39" s="373">
        <v>0</v>
      </c>
      <c r="P39" s="374">
        <f t="shared" ref="P39:P53" si="14">MAX(M39,N39,O39)</f>
        <v>0</v>
      </c>
    </row>
    <row r="40" spans="1:25" s="280" customFormat="1" ht="16.05" customHeight="1" x14ac:dyDescent="0.35">
      <c r="A40" s="280">
        <f t="shared" ca="1" si="13"/>
        <v>0.62298632065662518</v>
      </c>
      <c r="B40" s="557" t="s">
        <v>325</v>
      </c>
      <c r="C40" s="522"/>
      <c r="D40" s="620"/>
      <c r="E40" s="621"/>
      <c r="F40" s="622"/>
      <c r="G40" s="623"/>
      <c r="H40" s="623"/>
      <c r="I40" s="623"/>
      <c r="J40" s="624"/>
      <c r="K40" s="610"/>
      <c r="L40" s="372"/>
      <c r="M40" s="373"/>
      <c r="N40" s="373">
        <v>0</v>
      </c>
      <c r="O40" s="373">
        <v>0</v>
      </c>
      <c r="P40" s="374">
        <f t="shared" si="14"/>
        <v>0</v>
      </c>
      <c r="Q40" s="231"/>
      <c r="U40" s="287"/>
    </row>
    <row r="41" spans="1:25" s="280" customFormat="1" ht="16.05" customHeight="1" x14ac:dyDescent="0.35">
      <c r="A41" s="280">
        <f t="shared" ca="1" si="13"/>
        <v>0.36581158040228967</v>
      </c>
      <c r="B41" s="557" t="s">
        <v>332</v>
      </c>
      <c r="C41" s="522"/>
      <c r="D41" s="620"/>
      <c r="E41" s="621"/>
      <c r="F41" s="622"/>
      <c r="G41" s="623"/>
      <c r="H41" s="623"/>
      <c r="I41" s="623"/>
      <c r="J41" s="624"/>
      <c r="K41" s="610"/>
      <c r="L41" s="372"/>
      <c r="M41" s="373">
        <v>3523</v>
      </c>
      <c r="N41" s="373">
        <v>0</v>
      </c>
      <c r="O41" s="373">
        <v>0</v>
      </c>
      <c r="P41" s="374">
        <f t="shared" si="14"/>
        <v>3523</v>
      </c>
    </row>
    <row r="42" spans="1:25" s="287" customFormat="1" ht="16.05" customHeight="1" x14ac:dyDescent="0.35">
      <c r="A42" s="280">
        <f t="shared" ca="1" si="13"/>
        <v>0.80561702578499961</v>
      </c>
      <c r="B42" s="557" t="s">
        <v>333</v>
      </c>
      <c r="C42" s="619"/>
      <c r="D42" s="620"/>
      <c r="E42" s="621"/>
      <c r="F42" s="622"/>
      <c r="G42" s="623"/>
      <c r="H42" s="623"/>
      <c r="I42" s="623"/>
      <c r="J42" s="624"/>
      <c r="K42" s="610"/>
      <c r="L42" s="372"/>
      <c r="M42" s="373">
        <v>3780</v>
      </c>
      <c r="N42" s="373">
        <v>0</v>
      </c>
      <c r="O42" s="373">
        <v>0</v>
      </c>
      <c r="P42" s="374">
        <f t="shared" si="14"/>
        <v>3780</v>
      </c>
      <c r="Q42" s="280"/>
      <c r="R42" s="280"/>
      <c r="S42" s="280"/>
      <c r="T42" s="280"/>
      <c r="U42" s="280"/>
      <c r="V42" s="280"/>
      <c r="W42" s="280"/>
      <c r="X42" s="280"/>
      <c r="Y42" s="280"/>
    </row>
    <row r="43" spans="1:25" s="280" customFormat="1" ht="13.2" customHeight="1" x14ac:dyDescent="0.35">
      <c r="A43" s="280">
        <f t="shared" ca="1" si="13"/>
        <v>0.31065716992933801</v>
      </c>
      <c r="B43" s="611">
        <v>17</v>
      </c>
      <c r="C43" s="612"/>
      <c r="D43" s="613" t="e">
        <f>VLOOKUP(C43,Уч!$A$2:$L$34,2,FALSE)</f>
        <v>#N/A</v>
      </c>
      <c r="E43" s="614" t="e">
        <f>VLOOKUP(C43,Уч!$A$2:$L$34,3,FALSE)</f>
        <v>#N/A</v>
      </c>
      <c r="F43" s="615" t="e">
        <f>VLOOKUP(C43,Уч!$A$2:$L$34,5,FALSE)</f>
        <v>#N/A</v>
      </c>
      <c r="G43" s="616">
        <f t="shared" ref="G43:G53" si="15">IF(M43=0,"X",M43/100)</f>
        <v>29.78</v>
      </c>
      <c r="H43" s="616" t="str">
        <f t="shared" ref="H43:H53" si="16">IF(N43=0,"X",N43/100)</f>
        <v>X</v>
      </c>
      <c r="I43" s="616" t="str">
        <f t="shared" ref="I43:I53" si="17">IF(O43=0,"X",O43/100)</f>
        <v>X</v>
      </c>
      <c r="J43" s="617">
        <f t="shared" ref="J43:J53" si="18">MAX(M43,N43,O43)/100</f>
        <v>29.78</v>
      </c>
      <c r="K43" s="371">
        <f t="shared" ref="K43:K53" si="19">IF(P43&lt;410,0,IF(P43=0,0,ROUNDDOWN(12.91*(P43/100-4)^1.1,0)))</f>
        <v>460</v>
      </c>
      <c r="L43" s="372"/>
      <c r="M43" s="373">
        <v>2978</v>
      </c>
      <c r="N43" s="373">
        <v>0</v>
      </c>
      <c r="O43" s="373">
        <v>0</v>
      </c>
      <c r="P43" s="374">
        <f t="shared" si="14"/>
        <v>2978</v>
      </c>
    </row>
    <row r="44" spans="1:25" s="280" customFormat="1" ht="13.2" customHeight="1" x14ac:dyDescent="0.35">
      <c r="A44" s="280">
        <f t="shared" ca="1" si="13"/>
        <v>0.15162583124844997</v>
      </c>
      <c r="B44" s="363">
        <v>18</v>
      </c>
      <c r="C44" s="200"/>
      <c r="D44" s="365" t="e">
        <f>VLOOKUP(C44,Уч!$A$2:$L$34,2,FALSE)</f>
        <v>#N/A</v>
      </c>
      <c r="E44" s="366" t="e">
        <f>VLOOKUP(C44,Уч!$A$2:$L$34,3,FALSE)</f>
        <v>#N/A</v>
      </c>
      <c r="F44" s="378" t="e">
        <f>VLOOKUP(C44,Уч!$A$2:$L$34,5,FALSE)</f>
        <v>#N/A</v>
      </c>
      <c r="G44" s="608">
        <f t="shared" si="15"/>
        <v>38.94</v>
      </c>
      <c r="H44" s="608" t="str">
        <f t="shared" si="16"/>
        <v>X</v>
      </c>
      <c r="I44" s="608" t="str">
        <f t="shared" si="17"/>
        <v>X</v>
      </c>
      <c r="J44" s="609">
        <f t="shared" si="18"/>
        <v>38.94</v>
      </c>
      <c r="K44" s="371">
        <f t="shared" si="19"/>
        <v>643</v>
      </c>
      <c r="L44" s="372"/>
      <c r="M44" s="373">
        <v>3894</v>
      </c>
      <c r="N44" s="373">
        <v>0</v>
      </c>
      <c r="O44" s="373">
        <v>0</v>
      </c>
      <c r="P44" s="374">
        <f t="shared" si="14"/>
        <v>3894</v>
      </c>
    </row>
    <row r="45" spans="1:25" s="280" customFormat="1" ht="13.2" customHeight="1" x14ac:dyDescent="0.35">
      <c r="B45" s="363">
        <v>19</v>
      </c>
      <c r="C45" s="200"/>
      <c r="D45" s="365" t="e">
        <f>VLOOKUP(C45,Уч!$A$2:$L$34,2,FALSE)</f>
        <v>#N/A</v>
      </c>
      <c r="E45" s="366" t="e">
        <f>VLOOKUP(C45,Уч!$A$2:$L$34,3,FALSE)</f>
        <v>#N/A</v>
      </c>
      <c r="F45" s="378" t="e">
        <f>VLOOKUP(C45,Уч!$A$2:$L$34,5,FALSE)</f>
        <v>#N/A</v>
      </c>
      <c r="G45" s="608">
        <f t="shared" si="15"/>
        <v>37.15</v>
      </c>
      <c r="H45" s="608" t="str">
        <f t="shared" si="16"/>
        <v>X</v>
      </c>
      <c r="I45" s="608" t="str">
        <f t="shared" si="17"/>
        <v>X</v>
      </c>
      <c r="J45" s="609">
        <f t="shared" si="18"/>
        <v>37.15</v>
      </c>
      <c r="K45" s="371">
        <f t="shared" si="19"/>
        <v>607</v>
      </c>
      <c r="L45" s="372"/>
      <c r="M45" s="373">
        <v>3715</v>
      </c>
      <c r="N45" s="373">
        <v>0</v>
      </c>
      <c r="O45" s="373">
        <v>0</v>
      </c>
      <c r="P45" s="374">
        <f t="shared" si="14"/>
        <v>3715</v>
      </c>
    </row>
    <row r="46" spans="1:25" s="280" customFormat="1" ht="13.2" customHeight="1" x14ac:dyDescent="0.35">
      <c r="B46" s="363">
        <v>20</v>
      </c>
      <c r="C46" s="200"/>
      <c r="D46" s="365" t="e">
        <f>VLOOKUP(C46,Уч!$A$2:$L$34,2,FALSE)</f>
        <v>#N/A</v>
      </c>
      <c r="E46" s="366" t="e">
        <f>VLOOKUP(C46,Уч!$A$2:$L$34,3,FALSE)</f>
        <v>#N/A</v>
      </c>
      <c r="F46" s="378" t="e">
        <f>VLOOKUP(C46,Уч!$A$2:$L$34,5,FALSE)</f>
        <v>#N/A</v>
      </c>
      <c r="G46" s="608">
        <f t="shared" si="15"/>
        <v>40.33</v>
      </c>
      <c r="H46" s="608" t="str">
        <f t="shared" si="16"/>
        <v>X</v>
      </c>
      <c r="I46" s="608" t="str">
        <f t="shared" si="17"/>
        <v>X</v>
      </c>
      <c r="J46" s="609">
        <f t="shared" si="18"/>
        <v>40.33</v>
      </c>
      <c r="K46" s="371">
        <f t="shared" si="19"/>
        <v>671</v>
      </c>
      <c r="L46" s="372"/>
      <c r="M46" s="373">
        <v>4033</v>
      </c>
      <c r="N46" s="373">
        <v>0</v>
      </c>
      <c r="O46" s="373">
        <v>0</v>
      </c>
      <c r="P46" s="374">
        <f t="shared" si="14"/>
        <v>4033</v>
      </c>
    </row>
    <row r="47" spans="1:25" x14ac:dyDescent="0.25">
      <c r="A47" s="41">
        <f ca="1">RAND()</f>
        <v>0.78231083227656106</v>
      </c>
      <c r="B47" s="363"/>
      <c r="C47" s="220">
        <v>21</v>
      </c>
      <c r="D47" s="365" t="str">
        <f>VLOOKUP(C47,Уч!$A$2:$L$34,2,FALSE)</f>
        <v>Гасленко Кирилл</v>
      </c>
      <c r="E47" s="366">
        <f>VLOOKUP(C47,Уч!$A$2:$L$34,3,FALSE)</f>
        <v>36317</v>
      </c>
      <c r="F47" s="367" t="str">
        <f>VLOOKUP(C47,Уч!$A$2:$L$34,5,FALSE)</f>
        <v xml:space="preserve">Краснодарский край  </v>
      </c>
      <c r="G47" s="368" t="str">
        <f t="shared" si="15"/>
        <v>X</v>
      </c>
      <c r="H47" s="369" t="str">
        <f t="shared" si="16"/>
        <v>X</v>
      </c>
      <c r="I47" s="369" t="str">
        <f t="shared" si="17"/>
        <v>X</v>
      </c>
      <c r="J47" s="375">
        <f t="shared" si="18"/>
        <v>0</v>
      </c>
      <c r="K47" s="376">
        <f t="shared" si="19"/>
        <v>0</v>
      </c>
      <c r="L47" s="157"/>
      <c r="M47" s="209"/>
      <c r="N47" s="209">
        <v>0</v>
      </c>
      <c r="O47" s="209">
        <v>0</v>
      </c>
      <c r="P47" s="229">
        <f t="shared" si="14"/>
        <v>0</v>
      </c>
      <c r="R47" s="148"/>
      <c r="S47" s="148"/>
      <c r="T47" s="156"/>
    </row>
    <row r="48" spans="1:25" x14ac:dyDescent="0.25">
      <c r="A48" s="41">
        <f ca="1">RAND()</f>
        <v>0.34817793312116663</v>
      </c>
      <c r="B48" s="363"/>
      <c r="C48" s="220">
        <v>28</v>
      </c>
      <c r="D48" s="365" t="e">
        <f>VLOOKUP(C48,Уч!$A$2:$L$34,2,FALSE)</f>
        <v>#N/A</v>
      </c>
      <c r="E48" s="366" t="e">
        <f>VLOOKUP(C48,Уч!$A$2:$L$34,3,FALSE)</f>
        <v>#N/A</v>
      </c>
      <c r="F48" s="367" t="e">
        <f>VLOOKUP(C48,Уч!$A$2:$L$34,5,FALSE)</f>
        <v>#N/A</v>
      </c>
      <c r="G48" s="368" t="str">
        <f t="shared" si="15"/>
        <v>X</v>
      </c>
      <c r="H48" s="369" t="str">
        <f t="shared" si="16"/>
        <v>X</v>
      </c>
      <c r="I48" s="369" t="str">
        <f t="shared" si="17"/>
        <v>X</v>
      </c>
      <c r="J48" s="375">
        <f t="shared" si="18"/>
        <v>0</v>
      </c>
      <c r="K48" s="376">
        <f t="shared" si="19"/>
        <v>0</v>
      </c>
      <c r="L48" s="157"/>
      <c r="M48" s="209"/>
      <c r="N48" s="209">
        <v>0</v>
      </c>
      <c r="O48" s="209">
        <v>0</v>
      </c>
      <c r="P48" s="229">
        <f t="shared" si="14"/>
        <v>0</v>
      </c>
    </row>
    <row r="49" spans="1:21" x14ac:dyDescent="0.25">
      <c r="A49" s="41">
        <f ca="1">RAND()</f>
        <v>5.9328353801862965E-3</v>
      </c>
      <c r="B49" s="363"/>
      <c r="C49" s="230">
        <v>38</v>
      </c>
      <c r="D49" s="365" t="e">
        <f>VLOOKUP(C49,Уч!$A$2:$L$34,2,FALSE)</f>
        <v>#N/A</v>
      </c>
      <c r="E49" s="366" t="e">
        <f>VLOOKUP(C49,Уч!$A$2:$L$34,3,FALSE)</f>
        <v>#N/A</v>
      </c>
      <c r="F49" s="367" t="e">
        <f>VLOOKUP(C49,Уч!$A$2:$L$34,5,FALSE)</f>
        <v>#N/A</v>
      </c>
      <c r="G49" s="368" t="str">
        <f t="shared" si="15"/>
        <v>X</v>
      </c>
      <c r="H49" s="369" t="str">
        <f t="shared" si="16"/>
        <v>X</v>
      </c>
      <c r="I49" s="369" t="str">
        <f t="shared" si="17"/>
        <v>X</v>
      </c>
      <c r="J49" s="375">
        <f t="shared" si="18"/>
        <v>0</v>
      </c>
      <c r="K49" s="376">
        <f t="shared" si="19"/>
        <v>0</v>
      </c>
      <c r="L49" s="157"/>
      <c r="M49" s="209"/>
      <c r="N49" s="209">
        <v>0</v>
      </c>
      <c r="O49" s="209">
        <v>0</v>
      </c>
      <c r="P49" s="229">
        <f t="shared" si="14"/>
        <v>0</v>
      </c>
      <c r="Q49" s="148"/>
      <c r="U49" s="156"/>
    </row>
    <row r="50" spans="1:21" x14ac:dyDescent="0.25">
      <c r="A50" s="41">
        <f ca="1">RAND()</f>
        <v>0.66964484231247723</v>
      </c>
      <c r="B50" s="363"/>
      <c r="C50" s="230">
        <v>39</v>
      </c>
      <c r="D50" s="365" t="str">
        <f>VLOOKUP(C50,Уч!$A$2:$L$34,2,FALSE)</f>
        <v>Левковский Андрей</v>
      </c>
      <c r="E50" s="366" t="str">
        <f>VLOOKUP(C50,Уч!$A$2:$L$34,3,FALSE)</f>
        <v>17.08.1997</v>
      </c>
      <c r="F50" s="367" t="str">
        <f>VLOOKUP(C50,Уч!$A$2:$L$34,5,FALSE)</f>
        <v xml:space="preserve">Кемеровская область  </v>
      </c>
      <c r="G50" s="368" t="str">
        <f t="shared" si="15"/>
        <v>X</v>
      </c>
      <c r="H50" s="369" t="str">
        <f t="shared" si="16"/>
        <v>X</v>
      </c>
      <c r="I50" s="369" t="str">
        <f t="shared" si="17"/>
        <v>X</v>
      </c>
      <c r="J50" s="375">
        <f t="shared" si="18"/>
        <v>0</v>
      </c>
      <c r="K50" s="376">
        <f t="shared" si="19"/>
        <v>0</v>
      </c>
      <c r="L50" s="157"/>
      <c r="M50" s="209"/>
      <c r="N50" s="209">
        <v>0</v>
      </c>
      <c r="O50" s="209">
        <v>0</v>
      </c>
      <c r="P50" s="229">
        <f t="shared" si="14"/>
        <v>0</v>
      </c>
    </row>
    <row r="51" spans="1:21" x14ac:dyDescent="0.25">
      <c r="A51" s="41">
        <f ca="1">RAND()</f>
        <v>0.53136265274185934</v>
      </c>
      <c r="B51" s="363"/>
      <c r="C51" s="230">
        <v>40</v>
      </c>
      <c r="D51" s="365" t="str">
        <f>VLOOKUP(C51,Уч!$A$2:$L$34,2,FALSE)</f>
        <v>Черкасов Алексей</v>
      </c>
      <c r="E51" s="366" t="str">
        <f>VLOOKUP(C51,Уч!$A$2:$L$34,3,FALSE)</f>
        <v>22.10.1994</v>
      </c>
      <c r="F51" s="367" t="str">
        <f>VLOOKUP(C51,Уч!$A$2:$L$34,5,FALSE)</f>
        <v xml:space="preserve">Кемеровская область Санкт-Петербург </v>
      </c>
      <c r="G51" s="368" t="str">
        <f t="shared" si="15"/>
        <v>X</v>
      </c>
      <c r="H51" s="369" t="str">
        <f t="shared" si="16"/>
        <v>X</v>
      </c>
      <c r="I51" s="369" t="str">
        <f t="shared" si="17"/>
        <v>X</v>
      </c>
      <c r="J51" s="375">
        <f t="shared" si="18"/>
        <v>0</v>
      </c>
      <c r="K51" s="376">
        <f t="shared" si="19"/>
        <v>0</v>
      </c>
      <c r="L51" s="157"/>
      <c r="M51" s="209"/>
      <c r="N51" s="209">
        <v>0</v>
      </c>
      <c r="O51" s="209">
        <v>0</v>
      </c>
      <c r="P51" s="229">
        <f t="shared" si="14"/>
        <v>0</v>
      </c>
    </row>
    <row r="52" spans="1:21" x14ac:dyDescent="0.25">
      <c r="B52" s="363"/>
      <c r="C52" s="220">
        <v>41</v>
      </c>
      <c r="D52" s="365" t="str">
        <f>VLOOKUP(C52,Уч!$A$2:$L$34,2,FALSE)</f>
        <v>Фомичев Андрей</v>
      </c>
      <c r="E52" s="366" t="str">
        <f>VLOOKUP(C52,Уч!$A$2:$L$34,3,FALSE)</f>
        <v>15.12.1996</v>
      </c>
      <c r="F52" s="367" t="str">
        <f>VLOOKUP(C52,Уч!$A$2:$L$34,5,FALSE)</f>
        <v xml:space="preserve">Кемеровская область  </v>
      </c>
      <c r="G52" s="368" t="str">
        <f t="shared" si="15"/>
        <v>X</v>
      </c>
      <c r="H52" s="369" t="str">
        <f t="shared" si="16"/>
        <v>X</v>
      </c>
      <c r="I52" s="369" t="str">
        <f t="shared" si="17"/>
        <v>X</v>
      </c>
      <c r="J52" s="375">
        <f t="shared" si="18"/>
        <v>0</v>
      </c>
      <c r="K52" s="376">
        <f t="shared" si="19"/>
        <v>0</v>
      </c>
      <c r="L52" s="157"/>
      <c r="M52" s="209"/>
      <c r="N52" s="209">
        <v>0</v>
      </c>
      <c r="O52" s="209">
        <v>0</v>
      </c>
      <c r="P52" s="229">
        <f t="shared" si="14"/>
        <v>0</v>
      </c>
    </row>
    <row r="53" spans="1:21" ht="13.8" thickBot="1" x14ac:dyDescent="0.3">
      <c r="A53" s="41">
        <f ca="1">RAND()</f>
        <v>0.33486385288636511</v>
      </c>
      <c r="B53" s="363"/>
      <c r="C53" s="230">
        <v>66</v>
      </c>
      <c r="D53" s="365" t="e">
        <f>VLOOKUP(C53,Уч!$A$2:$L$34,2,FALSE)</f>
        <v>#N/A</v>
      </c>
      <c r="E53" s="366" t="e">
        <f>VLOOKUP(C53,Уч!$A$2:$L$34,3,FALSE)</f>
        <v>#N/A</v>
      </c>
      <c r="F53" s="367" t="e">
        <f>VLOOKUP(C53,Уч!$A$2:$L$34,5,FALSE)</f>
        <v>#N/A</v>
      </c>
      <c r="G53" s="368" t="str">
        <f t="shared" si="15"/>
        <v>X</v>
      </c>
      <c r="H53" s="369" t="str">
        <f t="shared" si="16"/>
        <v>X</v>
      </c>
      <c r="I53" s="369" t="str">
        <f t="shared" si="17"/>
        <v>X</v>
      </c>
      <c r="J53" s="375">
        <f t="shared" si="18"/>
        <v>0</v>
      </c>
      <c r="K53" s="376">
        <f t="shared" si="19"/>
        <v>0</v>
      </c>
      <c r="L53" s="157"/>
      <c r="M53" s="209"/>
      <c r="N53" s="209">
        <v>0</v>
      </c>
      <c r="O53" s="209">
        <v>0</v>
      </c>
      <c r="P53" s="229">
        <f t="shared" si="14"/>
        <v>0</v>
      </c>
    </row>
    <row r="54" spans="1:21" ht="13.8" thickBot="1" x14ac:dyDescent="0.3">
      <c r="B54" s="363"/>
      <c r="C54" s="377"/>
      <c r="D54" s="365"/>
      <c r="E54" s="366"/>
      <c r="F54" s="378"/>
      <c r="G54" s="369"/>
      <c r="H54" s="369"/>
      <c r="I54" s="369"/>
      <c r="J54" s="370"/>
      <c r="K54" s="371"/>
      <c r="L54" s="157"/>
      <c r="M54" s="209"/>
      <c r="N54" s="209"/>
      <c r="O54" s="209"/>
      <c r="P54" s="229"/>
    </row>
  </sheetData>
  <sortState ref="A16:AA27">
    <sortCondition ref="A16:A27"/>
  </sortState>
  <mergeCells count="7">
    <mergeCell ref="B7:J7"/>
    <mergeCell ref="B1:J1"/>
    <mergeCell ref="B2:J2"/>
    <mergeCell ref="B3:J3"/>
    <mergeCell ref="B4:J4"/>
    <mergeCell ref="B5:J5"/>
    <mergeCell ref="B6:J6"/>
  </mergeCells>
  <printOptions horizontalCentered="1"/>
  <pageMargins left="0.78740157480314965" right="0.78740157480314965" top="0.78740157480314965" bottom="0.78740157480314965" header="0.51181102362204722" footer="0.51181102362204722"/>
  <pageSetup paperSize="9" scale="98" orientation="landscape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Z53"/>
  <sheetViews>
    <sheetView view="pageBreakPreview" topLeftCell="A4" zoomScaleSheetLayoutView="100" workbookViewId="0">
      <selection activeCell="B56" sqref="B56:B58"/>
    </sheetView>
  </sheetViews>
  <sheetFormatPr defaultColWidth="9.109375" defaultRowHeight="13.2" outlineLevelRow="1" outlineLevelCol="1" x14ac:dyDescent="0.25"/>
  <cols>
    <col min="1" max="1" width="8.5546875" style="41" customWidth="1" outlineLevel="1"/>
    <col min="2" max="2" width="5.77734375" style="41" customWidth="1"/>
    <col min="3" max="3" width="6.109375" style="148" customWidth="1"/>
    <col min="4" max="4" width="20.109375" style="41" customWidth="1"/>
    <col min="5" max="5" width="8.5546875" style="41" customWidth="1" outlineLevel="1"/>
    <col min="6" max="6" width="18" style="41" customWidth="1" outlineLevel="1"/>
    <col min="7" max="10" width="3.33203125" style="148" customWidth="1" outlineLevel="1"/>
    <col min="11" max="24" width="3.33203125" style="41" customWidth="1" outlineLevel="1"/>
    <col min="25" max="28" width="3.33203125" style="148" customWidth="1" outlineLevel="1"/>
    <col min="29" max="30" width="3.33203125" style="41" customWidth="1" outlineLevel="1"/>
    <col min="31" max="31" width="9" style="41" customWidth="1"/>
    <col min="32" max="32" width="4.88671875" style="149" customWidth="1"/>
    <col min="33" max="33" width="5.6640625" style="149" customWidth="1"/>
    <col min="34" max="34" width="9.33203125" style="148" bestFit="1" customWidth="1" outlineLevel="1"/>
    <col min="35" max="16384" width="9.109375" style="41"/>
  </cols>
  <sheetData>
    <row r="1" spans="1:52" ht="13.2" customHeight="1" x14ac:dyDescent="0.25">
      <c r="B1" s="805" t="str">
        <f>Расп!A21</f>
        <v>МИНИСТЕРСТВО СПОРТА РОССИЙСКОЙ ФЕДЕРАЦИИ</v>
      </c>
      <c r="C1" s="805"/>
      <c r="D1" s="805"/>
      <c r="E1" s="805"/>
      <c r="F1" s="805"/>
      <c r="G1" s="805"/>
      <c r="H1" s="805"/>
      <c r="I1" s="805"/>
      <c r="J1" s="805"/>
      <c r="K1" s="805"/>
      <c r="L1" s="805"/>
      <c r="M1" s="805"/>
      <c r="N1" s="805"/>
      <c r="O1" s="805"/>
      <c r="P1" s="805"/>
      <c r="Q1" s="805"/>
      <c r="R1" s="805"/>
      <c r="S1" s="805"/>
      <c r="T1" s="805"/>
      <c r="U1" s="805"/>
      <c r="V1" s="805"/>
      <c r="W1" s="805"/>
      <c r="X1" s="805"/>
      <c r="Y1" s="805"/>
      <c r="Z1" s="805"/>
      <c r="AA1" s="805"/>
      <c r="AB1" s="805"/>
      <c r="AC1" s="805"/>
      <c r="AD1" s="805"/>
      <c r="AE1" s="805"/>
      <c r="AH1" s="146"/>
    </row>
    <row r="2" spans="1:52" ht="13.2" customHeight="1" x14ac:dyDescent="0.25">
      <c r="B2" s="805" t="str">
        <f>Расп!A22</f>
        <v>ВСЕРОССИЙСКАЯ ФЕДЕРАЦИЯ ЛЕГКОЙ АТЛЕТИКИ</v>
      </c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O2" s="805"/>
      <c r="P2" s="805"/>
      <c r="Q2" s="805"/>
      <c r="R2" s="805"/>
      <c r="S2" s="805"/>
      <c r="T2" s="805"/>
      <c r="U2" s="805"/>
      <c r="V2" s="805"/>
      <c r="W2" s="805"/>
      <c r="X2" s="805"/>
      <c r="Y2" s="805"/>
      <c r="Z2" s="805"/>
      <c r="AA2" s="805"/>
      <c r="AB2" s="805"/>
      <c r="AC2" s="805"/>
      <c r="AD2" s="805"/>
      <c r="AE2" s="805"/>
      <c r="AH2" s="146"/>
    </row>
    <row r="3" spans="1:52" ht="13.2" customHeight="1" x14ac:dyDescent="0.25">
      <c r="B3" s="805" t="str">
        <f>Расп!A25</f>
        <v>Командный чемпионат России</v>
      </c>
      <c r="C3" s="805"/>
      <c r="D3" s="805"/>
      <c r="E3" s="805"/>
      <c r="F3" s="805"/>
      <c r="G3" s="805"/>
      <c r="H3" s="805"/>
      <c r="I3" s="805"/>
      <c r="J3" s="805"/>
      <c r="K3" s="805"/>
      <c r="L3" s="805"/>
      <c r="M3" s="805"/>
      <c r="N3" s="805"/>
      <c r="O3" s="805"/>
      <c r="P3" s="805"/>
      <c r="Q3" s="805"/>
      <c r="R3" s="805"/>
      <c r="S3" s="805"/>
      <c r="T3" s="805"/>
      <c r="U3" s="805"/>
      <c r="V3" s="805"/>
      <c r="W3" s="805"/>
      <c r="X3" s="805"/>
      <c r="Y3" s="805"/>
      <c r="Z3" s="805"/>
      <c r="AA3" s="805"/>
      <c r="AB3" s="805"/>
      <c r="AC3" s="805"/>
      <c r="AD3" s="805"/>
      <c r="AE3" s="805"/>
      <c r="AH3" s="146"/>
    </row>
    <row r="4" spans="1:52" ht="13.2" customHeight="1" x14ac:dyDescent="0.25">
      <c r="B4" s="802" t="str">
        <f>Расп!A27</f>
        <v>по многоборью</v>
      </c>
      <c r="C4" s="802"/>
      <c r="D4" s="802"/>
      <c r="E4" s="802"/>
      <c r="F4" s="802"/>
      <c r="G4" s="802"/>
      <c r="H4" s="802"/>
      <c r="I4" s="802"/>
      <c r="J4" s="802"/>
      <c r="K4" s="802"/>
      <c r="L4" s="802"/>
      <c r="M4" s="802"/>
      <c r="N4" s="802"/>
      <c r="O4" s="802"/>
      <c r="P4" s="802"/>
      <c r="Q4" s="802"/>
      <c r="R4" s="802"/>
      <c r="S4" s="802"/>
      <c r="T4" s="802"/>
      <c r="U4" s="802"/>
      <c r="V4" s="802"/>
      <c r="W4" s="802"/>
      <c r="X4" s="802"/>
      <c r="Y4" s="802"/>
      <c r="Z4" s="802"/>
      <c r="AA4" s="802"/>
      <c r="AB4" s="802"/>
      <c r="AC4" s="802"/>
      <c r="AD4" s="802"/>
      <c r="AE4" s="802"/>
      <c r="AH4" s="146"/>
    </row>
    <row r="5" spans="1:52" ht="13.2" customHeight="1" x14ac:dyDescent="0.25">
      <c r="B5" s="802" t="str">
        <f>Расп!A28</f>
        <v>Мужчины</v>
      </c>
      <c r="C5" s="802"/>
      <c r="D5" s="802"/>
      <c r="E5" s="802"/>
      <c r="F5" s="802"/>
      <c r="G5" s="802"/>
      <c r="H5" s="802"/>
      <c r="I5" s="802"/>
      <c r="J5" s="802"/>
      <c r="K5" s="802"/>
      <c r="L5" s="802"/>
      <c r="M5" s="802"/>
      <c r="N5" s="802"/>
      <c r="O5" s="802"/>
      <c r="P5" s="802"/>
      <c r="Q5" s="802"/>
      <c r="R5" s="802"/>
      <c r="S5" s="802"/>
      <c r="T5" s="802"/>
      <c r="U5" s="802"/>
      <c r="V5" s="802"/>
      <c r="W5" s="802"/>
      <c r="X5" s="802"/>
      <c r="Y5" s="802"/>
      <c r="Z5" s="802"/>
      <c r="AA5" s="802"/>
      <c r="AB5" s="802"/>
      <c r="AC5" s="802"/>
      <c r="AD5" s="802"/>
      <c r="AE5" s="802"/>
      <c r="AH5" s="146"/>
    </row>
    <row r="6" spans="1:52" ht="13.2" customHeight="1" x14ac:dyDescent="0.25">
      <c r="B6" s="801" t="s">
        <v>12</v>
      </c>
      <c r="C6" s="801"/>
      <c r="D6" s="801"/>
      <c r="E6" s="801"/>
      <c r="F6" s="801"/>
      <c r="G6" s="801"/>
      <c r="H6" s="801"/>
      <c r="I6" s="801"/>
      <c r="J6" s="801"/>
      <c r="K6" s="801"/>
      <c r="L6" s="801"/>
      <c r="M6" s="801"/>
      <c r="N6" s="801"/>
      <c r="O6" s="801"/>
      <c r="P6" s="801"/>
      <c r="Q6" s="801"/>
      <c r="R6" s="801"/>
      <c r="S6" s="801"/>
      <c r="T6" s="801"/>
      <c r="U6" s="801"/>
      <c r="V6" s="801"/>
      <c r="W6" s="801"/>
      <c r="X6" s="801"/>
      <c r="Y6" s="801"/>
      <c r="Z6" s="801"/>
      <c r="AA6" s="801"/>
      <c r="AB6" s="801"/>
      <c r="AC6" s="801"/>
      <c r="AD6" s="801"/>
      <c r="AE6" s="801"/>
      <c r="AH6" s="146"/>
    </row>
    <row r="7" spans="1:52" ht="13.2" customHeight="1" x14ac:dyDescent="0.25">
      <c r="B7" s="801" t="str">
        <f>Расп!A10</f>
        <v>прыжок с шестом</v>
      </c>
      <c r="C7" s="801"/>
      <c r="D7" s="801"/>
      <c r="E7" s="801"/>
      <c r="F7" s="801"/>
      <c r="G7" s="801"/>
      <c r="H7" s="801"/>
      <c r="I7" s="801"/>
      <c r="J7" s="801"/>
      <c r="K7" s="801"/>
      <c r="L7" s="801"/>
      <c r="M7" s="801"/>
      <c r="N7" s="801"/>
      <c r="O7" s="801"/>
      <c r="P7" s="801"/>
      <c r="Q7" s="801"/>
      <c r="R7" s="801"/>
      <c r="S7" s="801"/>
      <c r="T7" s="801"/>
      <c r="U7" s="801"/>
      <c r="V7" s="801"/>
      <c r="W7" s="801"/>
      <c r="X7" s="801"/>
      <c r="Y7" s="801"/>
      <c r="Z7" s="801"/>
      <c r="AA7" s="801"/>
      <c r="AB7" s="801"/>
      <c r="AC7" s="801"/>
      <c r="AD7" s="801"/>
      <c r="AE7" s="801"/>
      <c r="AH7" s="146"/>
    </row>
    <row r="8" spans="1:52" ht="13.2" hidden="1" customHeight="1" x14ac:dyDescent="0.3">
      <c r="C8" s="151"/>
      <c r="D8" s="148"/>
      <c r="G8" s="150"/>
      <c r="H8" s="250"/>
      <c r="I8" s="41"/>
      <c r="AH8" s="146"/>
    </row>
    <row r="9" spans="1:52" ht="13.2" hidden="1" customHeight="1" x14ac:dyDescent="0.25">
      <c r="C9" s="208"/>
      <c r="D9" s="38"/>
      <c r="G9" s="150"/>
      <c r="J9" s="252"/>
      <c r="K9" s="379"/>
      <c r="R9" s="147"/>
      <c r="X9" s="147"/>
      <c r="Y9" s="213"/>
      <c r="Z9" s="213"/>
      <c r="AA9" s="213"/>
      <c r="AB9" s="213"/>
      <c r="AC9" s="147"/>
      <c r="AD9" s="147"/>
      <c r="AE9" s="147"/>
      <c r="AH9" s="152" t="s">
        <v>22</v>
      </c>
    </row>
    <row r="10" spans="1:52" ht="13.2" hidden="1" customHeight="1" outlineLevel="1" x14ac:dyDescent="0.3">
      <c r="C10" s="380"/>
      <c r="D10" s="148"/>
      <c r="E10" s="148"/>
      <c r="F10" s="151"/>
      <c r="G10" s="150"/>
      <c r="J10" s="255"/>
      <c r="AE10" s="214"/>
      <c r="AH10" s="152" t="s">
        <v>23</v>
      </c>
    </row>
    <row r="11" spans="1:52" ht="13.2" hidden="1" customHeight="1" x14ac:dyDescent="0.3">
      <c r="C11" s="153"/>
      <c r="D11" s="148"/>
      <c r="E11" s="148"/>
      <c r="G11" s="151"/>
      <c r="H11" s="41"/>
      <c r="I11" s="41"/>
      <c r="AE11" s="214"/>
      <c r="AH11" s="152" t="s">
        <v>24</v>
      </c>
    </row>
    <row r="12" spans="1:52" ht="13.2" customHeight="1" outlineLevel="1" x14ac:dyDescent="0.3">
      <c r="B12" s="203" t="str">
        <f>Расп!A7</f>
        <v>19.05.2019 г.</v>
      </c>
      <c r="C12" s="153"/>
      <c r="D12" s="148"/>
      <c r="E12" s="148"/>
      <c r="F12" s="606"/>
      <c r="G12" s="151"/>
      <c r="H12" s="41"/>
      <c r="I12" s="41"/>
      <c r="AD12" s="206" t="str">
        <f>Расп!B1</f>
        <v>Начало:</v>
      </c>
      <c r="AE12" s="207">
        <f>Расп!B10</f>
        <v>0.52777777777777779</v>
      </c>
      <c r="AH12" s="146"/>
    </row>
    <row r="13" spans="1:52" ht="13.2" customHeight="1" thickBot="1" x14ac:dyDescent="0.35">
      <c r="B13" s="41" t="str">
        <f>Расп!A26</f>
        <v>г.Сочи, Адлерский район, стадион "Юность"</v>
      </c>
      <c r="C13" s="153"/>
      <c r="D13" s="148"/>
      <c r="E13" s="148"/>
      <c r="G13" s="151"/>
      <c r="H13" s="41"/>
      <c r="I13" s="41"/>
      <c r="AD13" s="206" t="str">
        <f>Расп!C1</f>
        <v>Окончание:</v>
      </c>
      <c r="AH13" s="146"/>
    </row>
    <row r="14" spans="1:52" s="156" customFormat="1" ht="13.2" customHeight="1" x14ac:dyDescent="0.25">
      <c r="A14" s="154" t="s">
        <v>67</v>
      </c>
      <c r="B14" s="633" t="s">
        <v>260</v>
      </c>
      <c r="C14" s="633" t="s">
        <v>20</v>
      </c>
      <c r="D14" s="633" t="s">
        <v>16</v>
      </c>
      <c r="E14" s="633" t="s">
        <v>0</v>
      </c>
      <c r="F14" s="634" t="s">
        <v>8</v>
      </c>
      <c r="G14" s="635"/>
      <c r="H14" s="635"/>
      <c r="I14" s="636"/>
      <c r="J14" s="635"/>
      <c r="K14" s="635"/>
      <c r="L14" s="636"/>
      <c r="M14" s="635"/>
      <c r="N14" s="635"/>
      <c r="O14" s="636"/>
      <c r="P14" s="635"/>
      <c r="Q14" s="635"/>
      <c r="R14" s="636"/>
      <c r="S14" s="635"/>
      <c r="T14" s="635"/>
      <c r="U14" s="636"/>
      <c r="V14" s="635"/>
      <c r="W14" s="635"/>
      <c r="X14" s="636"/>
      <c r="Y14" s="635"/>
      <c r="Z14" s="635"/>
      <c r="AA14" s="636"/>
      <c r="AB14" s="635"/>
      <c r="AC14" s="635"/>
      <c r="AD14" s="636"/>
      <c r="AE14" s="637" t="s">
        <v>19</v>
      </c>
      <c r="AF14" s="155" t="s">
        <v>29</v>
      </c>
      <c r="AG14" s="157"/>
      <c r="AH14" s="152" t="s">
        <v>28</v>
      </c>
    </row>
    <row r="15" spans="1:52" s="287" customFormat="1" ht="13.2" customHeight="1" x14ac:dyDescent="0.35">
      <c r="A15" s="280">
        <f t="shared" ref="A15:A26" ca="1" si="0">RAND()</f>
        <v>0.84867049755004065</v>
      </c>
      <c r="B15" s="200">
        <v>1</v>
      </c>
      <c r="C15" s="162">
        <v>40</v>
      </c>
      <c r="D15" s="365" t="str">
        <f>VLOOKUP(C15,Уч!$A$2:$L$34,2,FALSE)</f>
        <v>Черкасов Алексей</v>
      </c>
      <c r="E15" s="366" t="str">
        <f>VLOOKUP(C15,Уч!$A$2:$L$34,3,FALSE)</f>
        <v>22.10.1994</v>
      </c>
      <c r="F15" s="378" t="str">
        <f>VLOOKUP(C15,Уч!$A$2:$L$34,5,FALSE)</f>
        <v xml:space="preserve">Кемеровская область Санкт-Петербург </v>
      </c>
      <c r="G15" s="382"/>
      <c r="H15" s="382"/>
      <c r="I15" s="382"/>
      <c r="J15" s="382"/>
      <c r="K15" s="382"/>
      <c r="L15" s="382"/>
      <c r="M15" s="382"/>
      <c r="N15" s="382"/>
      <c r="O15" s="382"/>
      <c r="P15" s="382"/>
      <c r="Q15" s="382"/>
      <c r="R15" s="382"/>
      <c r="S15" s="382"/>
      <c r="T15" s="382"/>
      <c r="U15" s="382"/>
      <c r="V15" s="382"/>
      <c r="W15" s="382"/>
      <c r="X15" s="382"/>
      <c r="Y15" s="382"/>
      <c r="Z15" s="382"/>
      <c r="AA15" s="382"/>
      <c r="AB15" s="382"/>
      <c r="AC15" s="382"/>
      <c r="AD15" s="382"/>
      <c r="AE15" s="655">
        <f t="shared" ref="AE15:AE26" si="1">AH15/100</f>
        <v>0</v>
      </c>
      <c r="AF15" s="385">
        <f t="shared" ref="AF15:AF26" si="2">IF(AH15&lt;103,0,IF(AH15=0,"0",ROUNDDOWN(0.2797*(AH15-100)^1.35,0)))</f>
        <v>0</v>
      </c>
      <c r="AG15" s="372" t="s">
        <v>348</v>
      </c>
      <c r="AH15" s="373"/>
      <c r="AI15" s="231"/>
      <c r="AJ15" s="280"/>
      <c r="AK15" s="280"/>
      <c r="AL15" s="280"/>
      <c r="AM15" s="280"/>
      <c r="AN15" s="280"/>
      <c r="AO15" s="280"/>
      <c r="AP15" s="280"/>
      <c r="AQ15" s="280"/>
      <c r="AR15" s="280"/>
      <c r="AS15" s="280"/>
      <c r="AT15" s="280"/>
      <c r="AU15" s="280"/>
      <c r="AV15" s="280"/>
      <c r="AW15" s="280"/>
      <c r="AX15" s="280"/>
      <c r="AY15" s="280"/>
      <c r="AZ15" s="280"/>
    </row>
    <row r="16" spans="1:52" s="287" customFormat="1" ht="13.2" customHeight="1" x14ac:dyDescent="0.35">
      <c r="A16" s="280">
        <f t="shared" ca="1" si="0"/>
        <v>0.83539690733782868</v>
      </c>
      <c r="B16" s="200">
        <v>2</v>
      </c>
      <c r="C16" s="162">
        <v>45</v>
      </c>
      <c r="D16" s="365" t="str">
        <f>VLOOKUP(C16,Уч!$A$2:$L$34,2,FALSE)</f>
        <v>Бочаринский Данила</v>
      </c>
      <c r="E16" s="366" t="str">
        <f>VLOOKUP(C16,Уч!$A$2:$L$34,3,FALSE)</f>
        <v>12.01.1999</v>
      </c>
      <c r="F16" s="378" t="str">
        <f>VLOOKUP(C16,Уч!$A$2:$L$34,5,FALSE)</f>
        <v xml:space="preserve">Кемеровская область  </v>
      </c>
      <c r="G16" s="382"/>
      <c r="H16" s="382"/>
      <c r="I16" s="382"/>
      <c r="J16" s="382"/>
      <c r="K16" s="382"/>
      <c r="L16" s="382"/>
      <c r="M16" s="382"/>
      <c r="N16" s="382"/>
      <c r="O16" s="382"/>
      <c r="P16" s="382"/>
      <c r="Q16" s="382"/>
      <c r="R16" s="382"/>
      <c r="S16" s="382"/>
      <c r="T16" s="382"/>
      <c r="U16" s="382"/>
      <c r="V16" s="382"/>
      <c r="W16" s="382"/>
      <c r="X16" s="382"/>
      <c r="Y16" s="382"/>
      <c r="Z16" s="382"/>
      <c r="AA16" s="382"/>
      <c r="AB16" s="382"/>
      <c r="AC16" s="382"/>
      <c r="AD16" s="382"/>
      <c r="AE16" s="655">
        <f t="shared" si="1"/>
        <v>4</v>
      </c>
      <c r="AF16" s="385">
        <f t="shared" si="2"/>
        <v>617</v>
      </c>
      <c r="AG16" s="372"/>
      <c r="AH16" s="373">
        <v>400</v>
      </c>
      <c r="AI16" s="231"/>
      <c r="AJ16" s="280"/>
      <c r="AK16" s="280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  <c r="AX16" s="280"/>
      <c r="AY16" s="280"/>
      <c r="AZ16" s="280"/>
    </row>
    <row r="17" spans="1:52" s="280" customFormat="1" ht="13.2" customHeight="1" x14ac:dyDescent="0.35">
      <c r="A17" s="280">
        <f t="shared" ca="1" si="0"/>
        <v>0.65800273702552237</v>
      </c>
      <c r="B17" s="200">
        <v>3</v>
      </c>
      <c r="C17" s="162">
        <v>25</v>
      </c>
      <c r="D17" s="365" t="e">
        <f>VLOOKUP(C17,Уч!$A$2:$L$34,2,FALSE)</f>
        <v>#N/A</v>
      </c>
      <c r="E17" s="366" t="e">
        <f>VLOOKUP(C17,Уч!$A$2:$L$34,3,FALSE)</f>
        <v>#N/A</v>
      </c>
      <c r="F17" s="378" t="e">
        <f>VLOOKUP(C17,Уч!$A$2:$L$34,5,FALSE)</f>
        <v>#N/A</v>
      </c>
      <c r="G17" s="382"/>
      <c r="H17" s="382"/>
      <c r="I17" s="382"/>
      <c r="J17" s="382"/>
      <c r="K17" s="382"/>
      <c r="L17" s="382"/>
      <c r="M17" s="382"/>
      <c r="N17" s="382"/>
      <c r="O17" s="382"/>
      <c r="P17" s="382"/>
      <c r="Q17" s="382"/>
      <c r="R17" s="382"/>
      <c r="S17" s="382"/>
      <c r="T17" s="382"/>
      <c r="U17" s="382"/>
      <c r="V17" s="382"/>
      <c r="W17" s="382"/>
      <c r="X17" s="382"/>
      <c r="Y17" s="382"/>
      <c r="Z17" s="382"/>
      <c r="AA17" s="382"/>
      <c r="AB17" s="382"/>
      <c r="AC17" s="382"/>
      <c r="AD17" s="382"/>
      <c r="AE17" s="655">
        <f t="shared" si="1"/>
        <v>0</v>
      </c>
      <c r="AF17" s="385">
        <f t="shared" si="2"/>
        <v>0</v>
      </c>
      <c r="AG17" s="372"/>
      <c r="AH17" s="373"/>
      <c r="AI17" s="231"/>
    </row>
    <row r="18" spans="1:52" s="280" customFormat="1" ht="13.2" customHeight="1" x14ac:dyDescent="0.35">
      <c r="A18" s="280">
        <f t="shared" ca="1" si="0"/>
        <v>0.82039880761256834</v>
      </c>
      <c r="B18" s="200">
        <v>4</v>
      </c>
      <c r="C18" s="162">
        <v>54</v>
      </c>
      <c r="D18" s="365" t="e">
        <f>VLOOKUP(C18,Уч!$A$2:$L$34,2,FALSE)</f>
        <v>#N/A</v>
      </c>
      <c r="E18" s="366" t="e">
        <f>VLOOKUP(C18,Уч!$A$2:$L$34,3,FALSE)</f>
        <v>#N/A</v>
      </c>
      <c r="F18" s="378" t="e">
        <f>VLOOKUP(C18,Уч!$A$2:$L$34,5,FALSE)</f>
        <v>#N/A</v>
      </c>
      <c r="G18" s="382"/>
      <c r="H18" s="382"/>
      <c r="I18" s="382"/>
      <c r="J18" s="382"/>
      <c r="K18" s="382"/>
      <c r="L18" s="382"/>
      <c r="M18" s="382"/>
      <c r="N18" s="382"/>
      <c r="O18" s="382"/>
      <c r="P18" s="382"/>
      <c r="Q18" s="382"/>
      <c r="R18" s="382"/>
      <c r="S18" s="382"/>
      <c r="T18" s="382"/>
      <c r="U18" s="382"/>
      <c r="V18" s="382"/>
      <c r="W18" s="382"/>
      <c r="X18" s="382"/>
      <c r="Y18" s="382"/>
      <c r="Z18" s="382"/>
      <c r="AA18" s="382"/>
      <c r="AB18" s="382"/>
      <c r="AC18" s="382"/>
      <c r="AD18" s="382"/>
      <c r="AE18" s="655">
        <f t="shared" si="1"/>
        <v>4.0999999999999996</v>
      </c>
      <c r="AF18" s="385">
        <f t="shared" si="2"/>
        <v>645</v>
      </c>
      <c r="AG18" s="372"/>
      <c r="AH18" s="373">
        <v>410</v>
      </c>
      <c r="AI18" s="231"/>
    </row>
    <row r="19" spans="1:52" s="280" customFormat="1" ht="13.2" customHeight="1" x14ac:dyDescent="0.35">
      <c r="A19" s="280">
        <f t="shared" ca="1" si="0"/>
        <v>0.64253107608850946</v>
      </c>
      <c r="B19" s="200">
        <v>5</v>
      </c>
      <c r="C19" s="162">
        <v>29</v>
      </c>
      <c r="D19" s="365" t="e">
        <f>VLOOKUP(C19,Уч!$A$2:$L$34,2,FALSE)</f>
        <v>#N/A</v>
      </c>
      <c r="E19" s="366" t="e">
        <f>VLOOKUP(C19,Уч!$A$2:$L$34,3,FALSE)</f>
        <v>#N/A</v>
      </c>
      <c r="F19" s="378" t="e">
        <f>VLOOKUP(C19,Уч!$A$2:$L$34,5,FALSE)</f>
        <v>#N/A</v>
      </c>
      <c r="G19" s="382"/>
      <c r="H19" s="382"/>
      <c r="I19" s="382"/>
      <c r="J19" s="382"/>
      <c r="K19" s="382"/>
      <c r="L19" s="382"/>
      <c r="M19" s="382"/>
      <c r="N19" s="382"/>
      <c r="O19" s="382"/>
      <c r="P19" s="382"/>
      <c r="Q19" s="382"/>
      <c r="R19" s="382"/>
      <c r="S19" s="382"/>
      <c r="T19" s="382"/>
      <c r="U19" s="382"/>
      <c r="V19" s="382"/>
      <c r="W19" s="382"/>
      <c r="X19" s="382"/>
      <c r="Y19" s="382"/>
      <c r="Z19" s="382"/>
      <c r="AA19" s="382"/>
      <c r="AB19" s="382"/>
      <c r="AC19" s="382"/>
      <c r="AD19" s="382"/>
      <c r="AE19" s="655">
        <f t="shared" si="1"/>
        <v>0</v>
      </c>
      <c r="AF19" s="385">
        <f t="shared" si="2"/>
        <v>0</v>
      </c>
      <c r="AG19" s="372" t="s">
        <v>349</v>
      </c>
      <c r="AH19" s="373"/>
      <c r="AI19" s="231" t="s">
        <v>165</v>
      </c>
      <c r="AL19" s="287"/>
      <c r="AM19" s="287"/>
      <c r="AN19" s="287"/>
      <c r="AO19" s="287"/>
      <c r="AP19" s="287"/>
      <c r="AQ19" s="287"/>
      <c r="AR19" s="287"/>
      <c r="AS19" s="287"/>
      <c r="AT19" s="287"/>
      <c r="AU19" s="287"/>
      <c r="AV19" s="287"/>
      <c r="AW19" s="287"/>
      <c r="AX19" s="287"/>
      <c r="AY19" s="287"/>
      <c r="AZ19" s="287"/>
    </row>
    <row r="20" spans="1:52" s="280" customFormat="1" ht="13.2" customHeight="1" x14ac:dyDescent="0.35">
      <c r="A20" s="280">
        <f t="shared" ca="1" si="0"/>
        <v>0.94743900849450691</v>
      </c>
      <c r="B20" s="200">
        <v>6</v>
      </c>
      <c r="C20" s="162">
        <v>2</v>
      </c>
      <c r="D20" s="365" t="str">
        <f>VLOOKUP(C20,Уч!$A$2:$L$34,2,FALSE)</f>
        <v>Игнашев Владимир</v>
      </c>
      <c r="E20" s="366" t="str">
        <f>VLOOKUP(C20,Уч!$A$2:$L$34,3,FALSE)</f>
        <v>05.10.1996</v>
      </c>
      <c r="F20" s="378" t="str">
        <f>VLOOKUP(C20,Уч!$A$2:$L$34,5,FALSE)</f>
        <v xml:space="preserve">Ростовская область  </v>
      </c>
      <c r="G20" s="382"/>
      <c r="H20" s="382"/>
      <c r="I20" s="382"/>
      <c r="J20" s="382"/>
      <c r="K20" s="382"/>
      <c r="L20" s="382"/>
      <c r="M20" s="382"/>
      <c r="N20" s="382"/>
      <c r="O20" s="382"/>
      <c r="P20" s="382"/>
      <c r="Q20" s="382"/>
      <c r="R20" s="382"/>
      <c r="S20" s="382"/>
      <c r="T20" s="382"/>
      <c r="U20" s="382"/>
      <c r="V20" s="382"/>
      <c r="W20" s="382"/>
      <c r="X20" s="382"/>
      <c r="Y20" s="382"/>
      <c r="Z20" s="382"/>
      <c r="AA20" s="382"/>
      <c r="AB20" s="382"/>
      <c r="AC20" s="382"/>
      <c r="AD20" s="382"/>
      <c r="AE20" s="655">
        <f t="shared" si="1"/>
        <v>4</v>
      </c>
      <c r="AF20" s="385">
        <f t="shared" si="2"/>
        <v>617</v>
      </c>
      <c r="AG20" s="372"/>
      <c r="AH20" s="373">
        <v>400</v>
      </c>
      <c r="AI20" s="231"/>
    </row>
    <row r="21" spans="1:52" s="280" customFormat="1" ht="13.2" customHeight="1" x14ac:dyDescent="0.35">
      <c r="A21" s="280">
        <f t="shared" ca="1" si="0"/>
        <v>0.81257559634172383</v>
      </c>
      <c r="B21" s="200">
        <v>7</v>
      </c>
      <c r="C21" s="162">
        <v>39</v>
      </c>
      <c r="D21" s="365" t="str">
        <f>VLOOKUP(C21,Уч!$A$2:$L$34,2,FALSE)</f>
        <v>Левковский Андрей</v>
      </c>
      <c r="E21" s="366" t="str">
        <f>VLOOKUP(C21,Уч!$A$2:$L$34,3,FALSE)</f>
        <v>17.08.1997</v>
      </c>
      <c r="F21" s="378" t="str">
        <f>VLOOKUP(C21,Уч!$A$2:$L$34,5,FALSE)</f>
        <v xml:space="preserve">Кемеровская область  </v>
      </c>
      <c r="G21" s="382"/>
      <c r="H21" s="382"/>
      <c r="I21" s="382"/>
      <c r="J21" s="382"/>
      <c r="K21" s="382"/>
      <c r="L21" s="382"/>
      <c r="M21" s="382"/>
      <c r="N21" s="382"/>
      <c r="O21" s="382"/>
      <c r="P21" s="382"/>
      <c r="Q21" s="382"/>
      <c r="R21" s="382"/>
      <c r="S21" s="382"/>
      <c r="T21" s="382"/>
      <c r="U21" s="382"/>
      <c r="V21" s="382"/>
      <c r="W21" s="382"/>
      <c r="X21" s="382"/>
      <c r="Y21" s="382"/>
      <c r="Z21" s="382"/>
      <c r="AA21" s="382"/>
      <c r="AB21" s="382"/>
      <c r="AC21" s="382"/>
      <c r="AD21" s="382"/>
      <c r="AE21" s="655">
        <f t="shared" si="1"/>
        <v>4.2</v>
      </c>
      <c r="AF21" s="385">
        <f t="shared" si="2"/>
        <v>673</v>
      </c>
      <c r="AG21" s="372"/>
      <c r="AH21" s="373">
        <v>420</v>
      </c>
      <c r="AI21" s="231"/>
    </row>
    <row r="22" spans="1:52" s="280" customFormat="1" ht="13.2" customHeight="1" x14ac:dyDescent="0.35">
      <c r="A22" s="280">
        <f t="shared" ca="1" si="0"/>
        <v>0.41959436851651921</v>
      </c>
      <c r="B22" s="200">
        <v>8</v>
      </c>
      <c r="C22" s="162">
        <v>68</v>
      </c>
      <c r="D22" s="365" t="e">
        <f>VLOOKUP(C22,Уч!$A$2:$L$34,2,FALSE)</f>
        <v>#N/A</v>
      </c>
      <c r="E22" s="366" t="e">
        <f>VLOOKUP(C22,Уч!$A$2:$L$34,3,FALSE)</f>
        <v>#N/A</v>
      </c>
      <c r="F22" s="378" t="e">
        <f>VLOOKUP(C22,Уч!$A$2:$L$34,5,FALSE)</f>
        <v>#N/A</v>
      </c>
      <c r="G22" s="382"/>
      <c r="H22" s="382"/>
      <c r="I22" s="382"/>
      <c r="J22" s="382"/>
      <c r="K22" s="382"/>
      <c r="L22" s="382"/>
      <c r="M22" s="382"/>
      <c r="N22" s="382"/>
      <c r="O22" s="382"/>
      <c r="P22" s="382"/>
      <c r="Q22" s="382"/>
      <c r="R22" s="382"/>
      <c r="S22" s="382"/>
      <c r="T22" s="382"/>
      <c r="U22" s="382"/>
      <c r="V22" s="382"/>
      <c r="W22" s="382"/>
      <c r="X22" s="382"/>
      <c r="Y22" s="382"/>
      <c r="Z22" s="382"/>
      <c r="AA22" s="382"/>
      <c r="AB22" s="382"/>
      <c r="AC22" s="382"/>
      <c r="AD22" s="382"/>
      <c r="AE22" s="655">
        <f t="shared" si="1"/>
        <v>4.5999999999999996</v>
      </c>
      <c r="AF22" s="385">
        <f t="shared" si="2"/>
        <v>790</v>
      </c>
      <c r="AG22" s="372"/>
      <c r="AH22" s="373">
        <v>460</v>
      </c>
      <c r="AI22" s="231" t="s">
        <v>165</v>
      </c>
    </row>
    <row r="23" spans="1:52" s="280" customFormat="1" ht="13.2" customHeight="1" x14ac:dyDescent="0.35">
      <c r="A23" s="280">
        <f t="shared" ca="1" si="0"/>
        <v>0.94840971481273695</v>
      </c>
      <c r="B23" s="200">
        <v>9</v>
      </c>
      <c r="C23" s="162">
        <v>35</v>
      </c>
      <c r="D23" s="365" t="e">
        <f>VLOOKUP(C23,Уч!$A$2:$L$34,2,FALSE)</f>
        <v>#N/A</v>
      </c>
      <c r="E23" s="366" t="e">
        <f>VLOOKUP(C23,Уч!$A$2:$L$34,3,FALSE)</f>
        <v>#N/A</v>
      </c>
      <c r="F23" s="378" t="e">
        <f>VLOOKUP(C23,Уч!$A$2:$L$34,5,FALSE)</f>
        <v>#N/A</v>
      </c>
      <c r="G23" s="382"/>
      <c r="H23" s="382"/>
      <c r="I23" s="382"/>
      <c r="J23" s="382"/>
      <c r="K23" s="382"/>
      <c r="L23" s="382"/>
      <c r="M23" s="382"/>
      <c r="N23" s="382"/>
      <c r="O23" s="382"/>
      <c r="P23" s="382"/>
      <c r="Q23" s="382"/>
      <c r="R23" s="382"/>
      <c r="S23" s="382"/>
      <c r="T23" s="382"/>
      <c r="U23" s="382"/>
      <c r="V23" s="382"/>
      <c r="W23" s="382"/>
      <c r="X23" s="382"/>
      <c r="Y23" s="382"/>
      <c r="Z23" s="382"/>
      <c r="AA23" s="382"/>
      <c r="AB23" s="382"/>
      <c r="AC23" s="382"/>
      <c r="AD23" s="382"/>
      <c r="AE23" s="655">
        <f t="shared" si="1"/>
        <v>3.9</v>
      </c>
      <c r="AF23" s="385">
        <f t="shared" si="2"/>
        <v>590</v>
      </c>
      <c r="AG23" s="372"/>
      <c r="AH23" s="373">
        <v>390</v>
      </c>
      <c r="AI23" s="231"/>
    </row>
    <row r="24" spans="1:52" s="280" customFormat="1" ht="13.2" customHeight="1" x14ac:dyDescent="0.35">
      <c r="A24" s="280">
        <f t="shared" ca="1" si="0"/>
        <v>0.21037456585480419</v>
      </c>
      <c r="B24" s="200">
        <v>10</v>
      </c>
      <c r="C24" s="162">
        <v>56</v>
      </c>
      <c r="D24" s="365" t="e">
        <f>VLOOKUP(C24,Уч!$A$2:$L$34,2,FALSE)</f>
        <v>#N/A</v>
      </c>
      <c r="E24" s="366" t="e">
        <f>VLOOKUP(C24,Уч!$A$2:$L$34,3,FALSE)</f>
        <v>#N/A</v>
      </c>
      <c r="F24" s="378" t="e">
        <f>VLOOKUP(C24,Уч!$A$2:$L$34,5,FALSE)</f>
        <v>#N/A</v>
      </c>
      <c r="G24" s="382"/>
      <c r="H24" s="382"/>
      <c r="I24" s="382"/>
      <c r="J24" s="382"/>
      <c r="K24" s="382"/>
      <c r="L24" s="382"/>
      <c r="M24" s="382"/>
      <c r="N24" s="382"/>
      <c r="O24" s="382"/>
      <c r="P24" s="382"/>
      <c r="Q24" s="382"/>
      <c r="R24" s="382"/>
      <c r="S24" s="382"/>
      <c r="T24" s="382"/>
      <c r="U24" s="382"/>
      <c r="V24" s="382"/>
      <c r="W24" s="382"/>
      <c r="X24" s="382"/>
      <c r="Y24" s="382"/>
      <c r="Z24" s="382"/>
      <c r="AA24" s="382"/>
      <c r="AB24" s="382"/>
      <c r="AC24" s="382"/>
      <c r="AD24" s="382"/>
      <c r="AE24" s="655">
        <f t="shared" si="1"/>
        <v>0</v>
      </c>
      <c r="AF24" s="385">
        <f t="shared" si="2"/>
        <v>0</v>
      </c>
      <c r="AG24" s="372" t="s">
        <v>349</v>
      </c>
      <c r="AH24" s="373"/>
      <c r="AI24" s="231"/>
    </row>
    <row r="25" spans="1:52" s="280" customFormat="1" ht="13.2" customHeight="1" x14ac:dyDescent="0.35">
      <c r="A25" s="280">
        <f t="shared" ca="1" si="0"/>
        <v>0.4832703567942882</v>
      </c>
      <c r="B25" s="200">
        <v>11</v>
      </c>
      <c r="C25" s="162">
        <v>9</v>
      </c>
      <c r="D25" s="365" t="e">
        <f>VLOOKUP(C25,Уч!$A$2:$L$34,2,FALSE)</f>
        <v>#N/A</v>
      </c>
      <c r="E25" s="366" t="e">
        <f>VLOOKUP(C25,Уч!$A$2:$L$34,3,FALSE)</f>
        <v>#N/A</v>
      </c>
      <c r="F25" s="378" t="e">
        <f>VLOOKUP(C25,Уч!$A$2:$L$34,5,FALSE)</f>
        <v>#N/A</v>
      </c>
      <c r="G25" s="382"/>
      <c r="H25" s="382"/>
      <c r="I25" s="382"/>
      <c r="J25" s="382"/>
      <c r="K25" s="382"/>
      <c r="L25" s="382"/>
      <c r="M25" s="382"/>
      <c r="N25" s="382"/>
      <c r="O25" s="382"/>
      <c r="P25" s="382"/>
      <c r="Q25" s="382"/>
      <c r="R25" s="382"/>
      <c r="S25" s="382"/>
      <c r="T25" s="382"/>
      <c r="U25" s="382"/>
      <c r="V25" s="382"/>
      <c r="W25" s="382"/>
      <c r="X25" s="382"/>
      <c r="Y25" s="382"/>
      <c r="Z25" s="382"/>
      <c r="AA25" s="382"/>
      <c r="AB25" s="382"/>
      <c r="AC25" s="382"/>
      <c r="AD25" s="382"/>
      <c r="AE25" s="655">
        <f t="shared" si="1"/>
        <v>0</v>
      </c>
      <c r="AF25" s="385">
        <f t="shared" si="2"/>
        <v>0</v>
      </c>
      <c r="AG25" s="372"/>
      <c r="AH25" s="373"/>
      <c r="AI25" s="231"/>
    </row>
    <row r="26" spans="1:52" s="280" customFormat="1" ht="13.2" customHeight="1" x14ac:dyDescent="0.35">
      <c r="A26" s="280">
        <f t="shared" ca="1" si="0"/>
        <v>5.1170340404679493E-2</v>
      </c>
      <c r="B26" s="200">
        <v>12</v>
      </c>
      <c r="C26" s="162">
        <v>8</v>
      </c>
      <c r="D26" s="365" t="e">
        <f>VLOOKUP(C26,Уч!$A$2:$L$34,2,FALSE)</f>
        <v>#N/A</v>
      </c>
      <c r="E26" s="366" t="e">
        <f>VLOOKUP(C26,Уч!$A$2:$L$34,3,FALSE)</f>
        <v>#N/A</v>
      </c>
      <c r="F26" s="378" t="e">
        <f>VLOOKUP(C26,Уч!$A$2:$L$34,5,FALSE)</f>
        <v>#N/A</v>
      </c>
      <c r="G26" s="382"/>
      <c r="H26" s="382"/>
      <c r="I26" s="382"/>
      <c r="J26" s="382"/>
      <c r="K26" s="382"/>
      <c r="L26" s="382"/>
      <c r="M26" s="382"/>
      <c r="N26" s="382"/>
      <c r="O26" s="382"/>
      <c r="P26" s="382"/>
      <c r="Q26" s="382"/>
      <c r="R26" s="382"/>
      <c r="S26" s="382"/>
      <c r="T26" s="382"/>
      <c r="U26" s="382"/>
      <c r="V26" s="382"/>
      <c r="W26" s="382"/>
      <c r="X26" s="382"/>
      <c r="Y26" s="382"/>
      <c r="Z26" s="382"/>
      <c r="AA26" s="382"/>
      <c r="AB26" s="382"/>
      <c r="AC26" s="382"/>
      <c r="AD26" s="382"/>
      <c r="AE26" s="655">
        <f t="shared" si="1"/>
        <v>4.5999999999999996</v>
      </c>
      <c r="AF26" s="385">
        <f t="shared" si="2"/>
        <v>790</v>
      </c>
      <c r="AG26" s="372"/>
      <c r="AH26" s="373">
        <v>460</v>
      </c>
      <c r="AI26" s="231" t="s">
        <v>165</v>
      </c>
    </row>
    <row r="27" spans="1:52" s="280" customFormat="1" ht="13.2" customHeight="1" x14ac:dyDescent="0.35">
      <c r="B27" s="200">
        <v>13</v>
      </c>
      <c r="C27" s="162">
        <v>80</v>
      </c>
      <c r="D27" s="365" t="e">
        <f>VLOOKUP(C27,Уч!$A$2:$L$34,2,FALSE)</f>
        <v>#N/A</v>
      </c>
      <c r="E27" s="366" t="e">
        <f>VLOOKUP(C27,Уч!$A$2:$L$34,3,FALSE)</f>
        <v>#N/A</v>
      </c>
      <c r="F27" s="378" t="e">
        <f>VLOOKUP(C27,Уч!$A$2:$L$34,5,FALSE)</f>
        <v>#N/A</v>
      </c>
      <c r="G27" s="382"/>
      <c r="H27" s="382"/>
      <c r="I27" s="382"/>
      <c r="J27" s="382"/>
      <c r="K27" s="382"/>
      <c r="L27" s="382"/>
      <c r="M27" s="382"/>
      <c r="N27" s="382"/>
      <c r="O27" s="382"/>
      <c r="P27" s="382"/>
      <c r="Q27" s="382"/>
      <c r="R27" s="382"/>
      <c r="S27" s="382"/>
      <c r="T27" s="382"/>
      <c r="U27" s="382"/>
      <c r="V27" s="382"/>
      <c r="W27" s="382"/>
      <c r="X27" s="382"/>
      <c r="Y27" s="382"/>
      <c r="Z27" s="382"/>
      <c r="AA27" s="382"/>
      <c r="AB27" s="382"/>
      <c r="AC27" s="382"/>
      <c r="AD27" s="382"/>
      <c r="AE27" s="655">
        <f t="shared" ref="AE27:AE38" si="3">AH27/100</f>
        <v>3.9</v>
      </c>
      <c r="AF27" s="385">
        <f t="shared" ref="AF27:AF38" si="4">IF(AH27&lt;103,0,IF(AH27=0,"0",ROUNDDOWN(0.2797*(AH27-100)^1.35,0)))</f>
        <v>590</v>
      </c>
      <c r="AG27" s="372"/>
      <c r="AH27" s="373">
        <v>390</v>
      </c>
      <c r="AI27" s="231"/>
    </row>
    <row r="28" spans="1:52" s="280" customFormat="1" ht="13.2" customHeight="1" x14ac:dyDescent="0.35">
      <c r="B28" s="200">
        <v>14</v>
      </c>
      <c r="C28" s="162">
        <v>24</v>
      </c>
      <c r="D28" s="365" t="e">
        <f>VLOOKUP(C28,Уч!$A$2:$L$34,2,FALSE)</f>
        <v>#N/A</v>
      </c>
      <c r="E28" s="366" t="e">
        <f>VLOOKUP(C28,Уч!$A$2:$L$34,3,FALSE)</f>
        <v>#N/A</v>
      </c>
      <c r="F28" s="378" t="e">
        <f>VLOOKUP(C28,Уч!$A$2:$L$34,5,FALSE)</f>
        <v>#N/A</v>
      </c>
      <c r="G28" s="382"/>
      <c r="H28" s="382"/>
      <c r="I28" s="382"/>
      <c r="J28" s="382"/>
      <c r="K28" s="382"/>
      <c r="L28" s="382"/>
      <c r="M28" s="382"/>
      <c r="N28" s="382"/>
      <c r="O28" s="382"/>
      <c r="P28" s="382"/>
      <c r="Q28" s="382"/>
      <c r="R28" s="382"/>
      <c r="S28" s="382"/>
      <c r="T28" s="382"/>
      <c r="U28" s="382"/>
      <c r="V28" s="382"/>
      <c r="W28" s="382"/>
      <c r="X28" s="382"/>
      <c r="Y28" s="382"/>
      <c r="Z28" s="382"/>
      <c r="AA28" s="382"/>
      <c r="AB28" s="382"/>
      <c r="AC28" s="382"/>
      <c r="AD28" s="382"/>
      <c r="AE28" s="655">
        <f t="shared" si="3"/>
        <v>0</v>
      </c>
      <c r="AF28" s="385">
        <f t="shared" si="4"/>
        <v>0</v>
      </c>
      <c r="AG28" s="372" t="s">
        <v>349</v>
      </c>
      <c r="AH28" s="373"/>
      <c r="AI28" s="231"/>
    </row>
    <row r="29" spans="1:52" s="280" customFormat="1" ht="13.2" customHeight="1" x14ac:dyDescent="0.35">
      <c r="B29" s="200">
        <v>15</v>
      </c>
      <c r="C29" s="162">
        <v>70</v>
      </c>
      <c r="D29" s="365" t="e">
        <f>VLOOKUP(C29,Уч!$A$2:$L$34,2,FALSE)</f>
        <v>#N/A</v>
      </c>
      <c r="E29" s="366" t="e">
        <f>VLOOKUP(C29,Уч!$A$2:$L$34,3,FALSE)</f>
        <v>#N/A</v>
      </c>
      <c r="F29" s="378" t="e">
        <f>VLOOKUP(C29,Уч!$A$2:$L$34,5,FALSE)</f>
        <v>#N/A</v>
      </c>
      <c r="G29" s="382"/>
      <c r="H29" s="382"/>
      <c r="I29" s="382"/>
      <c r="J29" s="382"/>
      <c r="K29" s="382"/>
      <c r="L29" s="382"/>
      <c r="M29" s="382"/>
      <c r="N29" s="382"/>
      <c r="O29" s="382"/>
      <c r="P29" s="382"/>
      <c r="Q29" s="382"/>
      <c r="R29" s="382"/>
      <c r="S29" s="382"/>
      <c r="T29" s="382"/>
      <c r="U29" s="382"/>
      <c r="V29" s="382"/>
      <c r="W29" s="382"/>
      <c r="X29" s="382"/>
      <c r="Y29" s="382"/>
      <c r="Z29" s="382"/>
      <c r="AA29" s="382"/>
      <c r="AB29" s="382"/>
      <c r="AC29" s="382"/>
      <c r="AD29" s="382"/>
      <c r="AE29" s="655">
        <f t="shared" si="3"/>
        <v>0</v>
      </c>
      <c r="AF29" s="385">
        <f t="shared" si="4"/>
        <v>0</v>
      </c>
      <c r="AG29" s="372" t="s">
        <v>349</v>
      </c>
      <c r="AH29" s="373"/>
      <c r="AI29" s="231"/>
    </row>
    <row r="30" spans="1:52" s="280" customFormat="1" ht="13.2" customHeight="1" x14ac:dyDescent="0.35">
      <c r="B30" s="200">
        <v>16</v>
      </c>
      <c r="C30" s="162">
        <v>26</v>
      </c>
      <c r="D30" s="365" t="e">
        <f>VLOOKUP(C30,Уч!$A$2:$L$34,2,FALSE)</f>
        <v>#N/A</v>
      </c>
      <c r="E30" s="366" t="e">
        <f>VLOOKUP(C30,Уч!$A$2:$L$34,3,FALSE)</f>
        <v>#N/A</v>
      </c>
      <c r="F30" s="378" t="e">
        <f>VLOOKUP(C30,Уч!$A$2:$L$34,5,FALSE)</f>
        <v>#N/A</v>
      </c>
      <c r="G30" s="382"/>
      <c r="H30" s="382"/>
      <c r="I30" s="382"/>
      <c r="J30" s="382"/>
      <c r="K30" s="382"/>
      <c r="L30" s="382"/>
      <c r="M30" s="382"/>
      <c r="N30" s="382"/>
      <c r="O30" s="382"/>
      <c r="P30" s="382"/>
      <c r="Q30" s="382"/>
      <c r="R30" s="382"/>
      <c r="S30" s="382"/>
      <c r="T30" s="382"/>
      <c r="U30" s="382"/>
      <c r="V30" s="382"/>
      <c r="W30" s="382"/>
      <c r="X30" s="382"/>
      <c r="Y30" s="382"/>
      <c r="Z30" s="382"/>
      <c r="AA30" s="382"/>
      <c r="AB30" s="382"/>
      <c r="AC30" s="382"/>
      <c r="AD30" s="382"/>
      <c r="AE30" s="655">
        <f t="shared" si="3"/>
        <v>4.3</v>
      </c>
      <c r="AF30" s="385">
        <f t="shared" si="4"/>
        <v>702</v>
      </c>
      <c r="AG30" s="372"/>
      <c r="AH30" s="373">
        <v>430</v>
      </c>
      <c r="AI30" s="231"/>
    </row>
    <row r="31" spans="1:52" s="280" customFormat="1" ht="13.2" customHeight="1" x14ac:dyDescent="0.35">
      <c r="B31" s="200">
        <v>17</v>
      </c>
      <c r="C31" s="162">
        <v>63</v>
      </c>
      <c r="D31" s="365" t="e">
        <f>VLOOKUP(C31,Уч!$A$2:$L$34,2,FALSE)</f>
        <v>#N/A</v>
      </c>
      <c r="E31" s="366" t="e">
        <f>VLOOKUP(C31,Уч!$A$2:$L$34,3,FALSE)</f>
        <v>#N/A</v>
      </c>
      <c r="F31" s="378" t="e">
        <f>VLOOKUP(C31,Уч!$A$2:$L$34,5,FALSE)</f>
        <v>#N/A</v>
      </c>
      <c r="G31" s="382"/>
      <c r="H31" s="382"/>
      <c r="I31" s="382"/>
      <c r="J31" s="382"/>
      <c r="K31" s="382"/>
      <c r="L31" s="382"/>
      <c r="M31" s="382"/>
      <c r="N31" s="382"/>
      <c r="O31" s="382"/>
      <c r="P31" s="382"/>
      <c r="Q31" s="382"/>
      <c r="R31" s="382"/>
      <c r="S31" s="382"/>
      <c r="T31" s="382"/>
      <c r="U31" s="382"/>
      <c r="V31" s="382"/>
      <c r="W31" s="382"/>
      <c r="X31" s="382"/>
      <c r="Y31" s="382"/>
      <c r="Z31" s="382"/>
      <c r="AA31" s="382"/>
      <c r="AB31" s="382"/>
      <c r="AC31" s="382"/>
      <c r="AD31" s="382"/>
      <c r="AE31" s="655">
        <f t="shared" si="3"/>
        <v>0</v>
      </c>
      <c r="AF31" s="385">
        <f t="shared" si="4"/>
        <v>0</v>
      </c>
      <c r="AG31" s="372" t="s">
        <v>349</v>
      </c>
      <c r="AH31" s="373"/>
      <c r="AI31" s="231"/>
    </row>
    <row r="32" spans="1:52" s="280" customFormat="1" ht="13.2" customHeight="1" x14ac:dyDescent="0.35">
      <c r="B32" s="200">
        <v>18</v>
      </c>
      <c r="C32" s="162">
        <v>78</v>
      </c>
      <c r="D32" s="365" t="str">
        <f>VLOOKUP(C32,Уч!$A$2:$L$34,2,FALSE)</f>
        <v>Слаква Максим</v>
      </c>
      <c r="E32" s="366" t="str">
        <f>VLOOKUP(C32,Уч!$A$2:$L$34,3,FALSE)</f>
        <v>10.05.1998</v>
      </c>
      <c r="F32" s="378" t="str">
        <f>VLOOKUP(C32,Уч!$A$2:$L$34,5,FALSE)</f>
        <v xml:space="preserve">Ставропольский край  </v>
      </c>
      <c r="G32" s="382"/>
      <c r="H32" s="382"/>
      <c r="I32" s="382"/>
      <c r="J32" s="382"/>
      <c r="K32" s="382"/>
      <c r="L32" s="382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655">
        <f t="shared" si="3"/>
        <v>3.9</v>
      </c>
      <c r="AF32" s="385">
        <f t="shared" si="4"/>
        <v>590</v>
      </c>
      <c r="AG32" s="372"/>
      <c r="AH32" s="373">
        <v>390</v>
      </c>
      <c r="AI32" s="231"/>
    </row>
    <row r="33" spans="1:52" s="280" customFormat="1" ht="13.2" customHeight="1" x14ac:dyDescent="0.35">
      <c r="B33" s="200">
        <v>19</v>
      </c>
      <c r="C33" s="162">
        <v>69</v>
      </c>
      <c r="D33" s="365" t="e">
        <f>VLOOKUP(C33,Уч!$A$2:$L$34,2,FALSE)</f>
        <v>#N/A</v>
      </c>
      <c r="E33" s="366" t="e">
        <f>VLOOKUP(C33,Уч!$A$2:$L$34,3,FALSE)</f>
        <v>#N/A</v>
      </c>
      <c r="F33" s="378" t="e">
        <f>VLOOKUP(C33,Уч!$A$2:$L$34,5,FALSE)</f>
        <v>#N/A</v>
      </c>
      <c r="G33" s="382"/>
      <c r="H33" s="382"/>
      <c r="I33" s="382"/>
      <c r="J33" s="382"/>
      <c r="K33" s="382"/>
      <c r="L33" s="382"/>
      <c r="M33" s="382"/>
      <c r="N33" s="382"/>
      <c r="O33" s="382"/>
      <c r="P33" s="382"/>
      <c r="Q33" s="382"/>
      <c r="R33" s="382"/>
      <c r="S33" s="382"/>
      <c r="T33" s="382"/>
      <c r="U33" s="382"/>
      <c r="V33" s="382"/>
      <c r="W33" s="382"/>
      <c r="X33" s="382"/>
      <c r="Y33" s="382"/>
      <c r="Z33" s="382"/>
      <c r="AA33" s="382"/>
      <c r="AB33" s="382"/>
      <c r="AC33" s="382"/>
      <c r="AD33" s="382"/>
      <c r="AE33" s="655">
        <f t="shared" si="3"/>
        <v>4</v>
      </c>
      <c r="AF33" s="385">
        <f t="shared" si="4"/>
        <v>617</v>
      </c>
      <c r="AG33" s="372"/>
      <c r="AH33" s="373">
        <v>400</v>
      </c>
      <c r="AI33" s="231"/>
    </row>
    <row r="34" spans="1:52" s="280" customFormat="1" ht="13.2" customHeight="1" x14ac:dyDescent="0.35">
      <c r="B34" s="200">
        <v>20</v>
      </c>
      <c r="C34" s="304">
        <v>50</v>
      </c>
      <c r="D34" s="365" t="e">
        <f>VLOOKUP(C34,Уч!$A$2:$L$34,2,FALSE)</f>
        <v>#N/A</v>
      </c>
      <c r="E34" s="366" t="e">
        <f>VLOOKUP(C34,Уч!$A$2:$L$34,3,FALSE)</f>
        <v>#N/A</v>
      </c>
      <c r="F34" s="378" t="e">
        <f>VLOOKUP(C34,Уч!$A$2:$L$34,5,FALSE)</f>
        <v>#N/A</v>
      </c>
      <c r="G34" s="382"/>
      <c r="H34" s="382"/>
      <c r="I34" s="382"/>
      <c r="J34" s="382"/>
      <c r="K34" s="382"/>
      <c r="L34" s="382"/>
      <c r="M34" s="382"/>
      <c r="N34" s="382"/>
      <c r="O34" s="382"/>
      <c r="P34" s="382"/>
      <c r="Q34" s="382"/>
      <c r="R34" s="382"/>
      <c r="S34" s="382"/>
      <c r="T34" s="382"/>
      <c r="U34" s="382"/>
      <c r="V34" s="382"/>
      <c r="W34" s="382"/>
      <c r="X34" s="382"/>
      <c r="Y34" s="382"/>
      <c r="Z34" s="382"/>
      <c r="AA34" s="382"/>
      <c r="AB34" s="382"/>
      <c r="AC34" s="382"/>
      <c r="AD34" s="382"/>
      <c r="AE34" s="655">
        <f t="shared" si="3"/>
        <v>3.9</v>
      </c>
      <c r="AF34" s="385">
        <f t="shared" si="4"/>
        <v>590</v>
      </c>
      <c r="AG34" s="372"/>
      <c r="AH34" s="373">
        <v>390</v>
      </c>
      <c r="AI34" s="231"/>
    </row>
    <row r="35" spans="1:52" s="280" customFormat="1" ht="13.2" customHeight="1" x14ac:dyDescent="0.35">
      <c r="B35" s="200">
        <v>21</v>
      </c>
      <c r="C35" s="162">
        <v>62</v>
      </c>
      <c r="D35" s="365" t="e">
        <f>VLOOKUP(C35,Уч!$A$2:$L$34,2,FALSE)</f>
        <v>#N/A</v>
      </c>
      <c r="E35" s="366" t="e">
        <f>VLOOKUP(C35,Уч!$A$2:$L$34,3,FALSE)</f>
        <v>#N/A</v>
      </c>
      <c r="F35" s="378" t="e">
        <f>VLOOKUP(C35,Уч!$A$2:$L$34,5,FALSE)</f>
        <v>#N/A</v>
      </c>
      <c r="G35" s="382"/>
      <c r="H35" s="382"/>
      <c r="I35" s="382"/>
      <c r="J35" s="382"/>
      <c r="K35" s="382"/>
      <c r="L35" s="382"/>
      <c r="M35" s="382"/>
      <c r="N35" s="382"/>
      <c r="O35" s="382"/>
      <c r="P35" s="382"/>
      <c r="Q35" s="382"/>
      <c r="R35" s="382"/>
      <c r="S35" s="382"/>
      <c r="T35" s="382"/>
      <c r="U35" s="382"/>
      <c r="V35" s="382"/>
      <c r="W35" s="382"/>
      <c r="X35" s="382"/>
      <c r="Y35" s="382"/>
      <c r="Z35" s="382"/>
      <c r="AA35" s="382"/>
      <c r="AB35" s="382"/>
      <c r="AC35" s="382"/>
      <c r="AD35" s="382"/>
      <c r="AE35" s="655">
        <f t="shared" si="3"/>
        <v>0</v>
      </c>
      <c r="AF35" s="385">
        <f t="shared" si="4"/>
        <v>0</v>
      </c>
      <c r="AG35" s="372"/>
      <c r="AH35" s="373"/>
      <c r="AI35" s="231"/>
    </row>
    <row r="36" spans="1:52" s="280" customFormat="1" ht="13.2" customHeight="1" x14ac:dyDescent="0.35">
      <c r="B36" s="200">
        <v>22</v>
      </c>
      <c r="C36" s="162">
        <v>41</v>
      </c>
      <c r="D36" s="365" t="str">
        <f>VLOOKUP(C36,Уч!$A$2:$L$34,2,FALSE)</f>
        <v>Фомичев Андрей</v>
      </c>
      <c r="E36" s="366" t="str">
        <f>VLOOKUP(C36,Уч!$A$2:$L$34,3,FALSE)</f>
        <v>15.12.1996</v>
      </c>
      <c r="F36" s="378" t="str">
        <f>VLOOKUP(C36,Уч!$A$2:$L$34,5,FALSE)</f>
        <v xml:space="preserve">Кемеровская область  </v>
      </c>
      <c r="G36" s="382"/>
      <c r="H36" s="382"/>
      <c r="I36" s="382"/>
      <c r="J36" s="382"/>
      <c r="K36" s="382"/>
      <c r="L36" s="382"/>
      <c r="M36" s="382"/>
      <c r="N36" s="382"/>
      <c r="O36" s="382"/>
      <c r="P36" s="382"/>
      <c r="Q36" s="382"/>
      <c r="R36" s="382"/>
      <c r="S36" s="382"/>
      <c r="T36" s="382"/>
      <c r="U36" s="382"/>
      <c r="V36" s="382"/>
      <c r="W36" s="382"/>
      <c r="X36" s="382"/>
      <c r="Y36" s="382"/>
      <c r="Z36" s="382"/>
      <c r="AA36" s="382"/>
      <c r="AB36" s="382"/>
      <c r="AC36" s="382"/>
      <c r="AD36" s="382"/>
      <c r="AE36" s="655">
        <f t="shared" si="3"/>
        <v>4.3</v>
      </c>
      <c r="AF36" s="385">
        <f t="shared" si="4"/>
        <v>702</v>
      </c>
      <c r="AG36" s="372"/>
      <c r="AH36" s="373">
        <v>430</v>
      </c>
      <c r="AI36" s="231"/>
    </row>
    <row r="37" spans="1:52" s="280" customFormat="1" ht="13.2" customHeight="1" x14ac:dyDescent="0.35">
      <c r="B37" s="200">
        <v>23</v>
      </c>
      <c r="C37" s="162">
        <v>81</v>
      </c>
      <c r="D37" s="365" t="str">
        <f>VLOOKUP(C37,Уч!$A$2:$L$34,2,FALSE)</f>
        <v>Исаев Максим</v>
      </c>
      <c r="E37" s="366" t="str">
        <f>VLOOKUP(C37,Уч!$A$2:$L$34,3,FALSE)</f>
        <v>10.07.1997</v>
      </c>
      <c r="F37" s="378" t="str">
        <f>VLOOKUP(C37,Уч!$A$2:$L$34,5,FALSE)</f>
        <v xml:space="preserve">Челябинская область  </v>
      </c>
      <c r="G37" s="382"/>
      <c r="H37" s="382"/>
      <c r="I37" s="382"/>
      <c r="J37" s="382"/>
      <c r="K37" s="382"/>
      <c r="L37" s="382"/>
      <c r="M37" s="382"/>
      <c r="N37" s="382"/>
      <c r="O37" s="382"/>
      <c r="P37" s="382"/>
      <c r="Q37" s="382"/>
      <c r="R37" s="382"/>
      <c r="S37" s="382"/>
      <c r="T37" s="382"/>
      <c r="U37" s="382"/>
      <c r="V37" s="382"/>
      <c r="W37" s="382"/>
      <c r="X37" s="382"/>
      <c r="Y37" s="382"/>
      <c r="Z37" s="382"/>
      <c r="AA37" s="382"/>
      <c r="AB37" s="382"/>
      <c r="AC37" s="382"/>
      <c r="AD37" s="382"/>
      <c r="AE37" s="655">
        <f t="shared" si="3"/>
        <v>4</v>
      </c>
      <c r="AF37" s="385">
        <f t="shared" si="4"/>
        <v>617</v>
      </c>
      <c r="AG37" s="372"/>
      <c r="AH37" s="373">
        <v>400</v>
      </c>
      <c r="AI37" s="231"/>
    </row>
    <row r="38" spans="1:52" s="280" customFormat="1" ht="13.2" customHeight="1" x14ac:dyDescent="0.25">
      <c r="B38" s="200">
        <v>24</v>
      </c>
      <c r="C38" s="197">
        <v>44</v>
      </c>
      <c r="D38" s="365" t="str">
        <f>VLOOKUP(C38,Уч!$A$2:$L$34,2,FALSE)</f>
        <v>Хамедов Игорь</v>
      </c>
      <c r="E38" s="366" t="str">
        <f>VLOOKUP(C38,Уч!$A$2:$L$34,3,FALSE)</f>
        <v>30.05.1998</v>
      </c>
      <c r="F38" s="378" t="str">
        <f>VLOOKUP(C38,Уч!$A$2:$L$34,5,FALSE)</f>
        <v xml:space="preserve">Кемеровская область  </v>
      </c>
      <c r="G38" s="382"/>
      <c r="H38" s="382"/>
      <c r="I38" s="382"/>
      <c r="J38" s="382"/>
      <c r="K38" s="382"/>
      <c r="L38" s="382"/>
      <c r="M38" s="382"/>
      <c r="N38" s="382"/>
      <c r="O38" s="382"/>
      <c r="P38" s="382"/>
      <c r="Q38" s="382"/>
      <c r="R38" s="382"/>
      <c r="S38" s="382"/>
      <c r="T38" s="382"/>
      <c r="U38" s="382"/>
      <c r="V38" s="382"/>
      <c r="W38" s="382"/>
      <c r="X38" s="382"/>
      <c r="Y38" s="382"/>
      <c r="Z38" s="382"/>
      <c r="AA38" s="382"/>
      <c r="AB38" s="382"/>
      <c r="AC38" s="382"/>
      <c r="AD38" s="382"/>
      <c r="AE38" s="655">
        <f t="shared" si="3"/>
        <v>3.6</v>
      </c>
      <c r="AF38" s="385">
        <f t="shared" si="4"/>
        <v>509</v>
      </c>
      <c r="AG38" s="372"/>
      <c r="AH38" s="373">
        <v>360</v>
      </c>
      <c r="AI38" s="231"/>
    </row>
    <row r="39" spans="1:52" s="280" customFormat="1" ht="13.2" customHeight="1" x14ac:dyDescent="0.35">
      <c r="A39" s="280">
        <f t="shared" ref="A39:A46" ca="1" si="5">RAND()</f>
        <v>0.42383831527963423</v>
      </c>
      <c r="B39" s="522"/>
      <c r="C39" s="522"/>
      <c r="D39" s="620"/>
      <c r="E39" s="621"/>
      <c r="F39" s="622"/>
      <c r="G39" s="631"/>
      <c r="H39" s="631"/>
      <c r="I39" s="631"/>
      <c r="J39" s="631"/>
      <c r="K39" s="631"/>
      <c r="L39" s="631"/>
      <c r="M39" s="631"/>
      <c r="N39" s="631"/>
      <c r="O39" s="631"/>
      <c r="P39" s="631"/>
      <c r="Q39" s="631"/>
      <c r="R39" s="631"/>
      <c r="S39" s="631"/>
      <c r="T39" s="631"/>
      <c r="U39" s="631"/>
      <c r="V39" s="631"/>
      <c r="W39" s="631"/>
      <c r="X39" s="631"/>
      <c r="Y39" s="631"/>
      <c r="Z39" s="631"/>
      <c r="AA39" s="631"/>
      <c r="AB39" s="631"/>
      <c r="AC39" s="631"/>
      <c r="AD39" s="631"/>
      <c r="AE39" s="632"/>
      <c r="AF39" s="385">
        <f t="shared" ref="AF39:AF46" si="6">IF(AH39&lt;103,0,IF(AH39=0,"0",ROUNDDOWN(0.2797*(AH39-100)^1.35,0)))</f>
        <v>0</v>
      </c>
      <c r="AG39" s="372"/>
      <c r="AH39" s="373"/>
      <c r="AL39" s="287"/>
      <c r="AM39" s="287"/>
      <c r="AN39" s="287"/>
      <c r="AO39" s="287"/>
      <c r="AP39" s="287"/>
      <c r="AQ39" s="287"/>
      <c r="AR39" s="287"/>
      <c r="AS39" s="287"/>
      <c r="AT39" s="287"/>
      <c r="AU39" s="287"/>
      <c r="AV39" s="287"/>
      <c r="AW39" s="287"/>
      <c r="AX39" s="287"/>
      <c r="AY39" s="287"/>
      <c r="AZ39" s="287"/>
    </row>
    <row r="40" spans="1:52" s="280" customFormat="1" ht="16.05" customHeight="1" x14ac:dyDescent="0.35">
      <c r="A40" s="280">
        <f t="shared" ca="1" si="5"/>
        <v>0.53722978556391643</v>
      </c>
      <c r="B40" s="557" t="s">
        <v>325</v>
      </c>
      <c r="C40" s="522"/>
      <c r="D40" s="620"/>
      <c r="E40" s="621"/>
      <c r="F40" s="622"/>
      <c r="G40" s="631"/>
      <c r="H40" s="631"/>
      <c r="I40" s="631"/>
      <c r="J40" s="631"/>
      <c r="K40" s="631"/>
      <c r="L40" s="631"/>
      <c r="M40" s="631"/>
      <c r="N40" s="631"/>
      <c r="O40" s="631"/>
      <c r="P40" s="631"/>
      <c r="Q40" s="631"/>
      <c r="R40" s="631"/>
      <c r="S40" s="631"/>
      <c r="T40" s="631"/>
      <c r="U40" s="631"/>
      <c r="V40" s="631"/>
      <c r="W40" s="631"/>
      <c r="X40" s="631"/>
      <c r="Y40" s="631"/>
      <c r="Z40" s="631"/>
      <c r="AA40" s="631"/>
      <c r="AB40" s="631"/>
      <c r="AC40" s="631"/>
      <c r="AD40" s="631"/>
      <c r="AE40" s="632"/>
      <c r="AF40" s="385">
        <f t="shared" si="6"/>
        <v>731</v>
      </c>
      <c r="AG40" s="372"/>
      <c r="AH40" s="373">
        <v>440</v>
      </c>
      <c r="AI40" s="231"/>
      <c r="AJ40" s="231"/>
      <c r="AK40" s="231"/>
    </row>
    <row r="41" spans="1:52" s="280" customFormat="1" ht="16.05" customHeight="1" x14ac:dyDescent="0.35">
      <c r="A41" s="280">
        <f t="shared" ca="1" si="5"/>
        <v>0.60105940861287555</v>
      </c>
      <c r="B41" s="557" t="s">
        <v>332</v>
      </c>
      <c r="C41" s="522"/>
      <c r="D41" s="620"/>
      <c r="E41" s="621"/>
      <c r="F41" s="622"/>
      <c r="G41" s="631"/>
      <c r="H41" s="631"/>
      <c r="I41" s="631"/>
      <c r="J41" s="631"/>
      <c r="K41" s="631"/>
      <c r="L41" s="631"/>
      <c r="M41" s="631"/>
      <c r="N41" s="631"/>
      <c r="O41" s="631"/>
      <c r="P41" s="631"/>
      <c r="Q41" s="631"/>
      <c r="R41" s="631"/>
      <c r="S41" s="631"/>
      <c r="T41" s="631"/>
      <c r="U41" s="631"/>
      <c r="V41" s="631"/>
      <c r="W41" s="631"/>
      <c r="X41" s="631"/>
      <c r="Y41" s="631"/>
      <c r="Z41" s="631"/>
      <c r="AA41" s="631"/>
      <c r="AB41" s="631"/>
      <c r="AC41" s="631"/>
      <c r="AD41" s="631"/>
      <c r="AE41" s="632"/>
      <c r="AF41" s="385">
        <f t="shared" si="6"/>
        <v>0</v>
      </c>
      <c r="AG41" s="372"/>
      <c r="AH41" s="373"/>
      <c r="AI41" s="231" t="s">
        <v>165</v>
      </c>
    </row>
    <row r="42" spans="1:52" s="280" customFormat="1" ht="16.05" customHeight="1" x14ac:dyDescent="0.35">
      <c r="A42" s="280">
        <f t="shared" ca="1" si="5"/>
        <v>0.52315468919094754</v>
      </c>
      <c r="B42" s="557" t="s">
        <v>333</v>
      </c>
      <c r="C42" s="619"/>
      <c r="D42" s="620"/>
      <c r="E42" s="621"/>
      <c r="F42" s="622"/>
      <c r="G42" s="631"/>
      <c r="H42" s="631"/>
      <c r="I42" s="631"/>
      <c r="J42" s="631"/>
      <c r="K42" s="631"/>
      <c r="L42" s="631"/>
      <c r="M42" s="631"/>
      <c r="N42" s="631"/>
      <c r="O42" s="631"/>
      <c r="P42" s="631"/>
      <c r="Q42" s="631"/>
      <c r="R42" s="631"/>
      <c r="S42" s="631"/>
      <c r="T42" s="631"/>
      <c r="U42" s="631"/>
      <c r="V42" s="631"/>
      <c r="W42" s="631"/>
      <c r="X42" s="631"/>
      <c r="Y42" s="631"/>
      <c r="Z42" s="631"/>
      <c r="AA42" s="631"/>
      <c r="AB42" s="631"/>
      <c r="AC42" s="631"/>
      <c r="AD42" s="631"/>
      <c r="AE42" s="632"/>
      <c r="AF42" s="385">
        <f t="shared" si="6"/>
        <v>0</v>
      </c>
      <c r="AG42" s="372"/>
      <c r="AH42" s="373"/>
      <c r="AI42" s="231" t="s">
        <v>165</v>
      </c>
    </row>
    <row r="43" spans="1:52" s="287" customFormat="1" ht="13.2" customHeight="1" x14ac:dyDescent="0.35">
      <c r="A43" s="280">
        <f t="shared" ca="1" si="5"/>
        <v>0.67476510509421717</v>
      </c>
      <c r="B43" s="625">
        <v>17</v>
      </c>
      <c r="C43" s="625">
        <v>16</v>
      </c>
      <c r="D43" s="613" t="e">
        <f>VLOOKUP(C43,Уч!$A$2:$L$34,2,FALSE)</f>
        <v>#N/A</v>
      </c>
      <c r="E43" s="614" t="e">
        <f>VLOOKUP(C43,Уч!$A$2:$L$34,3,FALSE)</f>
        <v>#N/A</v>
      </c>
      <c r="F43" s="626" t="e">
        <f>VLOOKUP(C43,Уч!$A$2:$L$34,5,FALSE)</f>
        <v>#N/A</v>
      </c>
      <c r="G43" s="627"/>
      <c r="H43" s="628"/>
      <c r="I43" s="629"/>
      <c r="J43" s="627"/>
      <c r="K43" s="628"/>
      <c r="L43" s="629"/>
      <c r="M43" s="627"/>
      <c r="N43" s="628"/>
      <c r="O43" s="629"/>
      <c r="P43" s="627"/>
      <c r="Q43" s="628"/>
      <c r="R43" s="629"/>
      <c r="S43" s="627"/>
      <c r="T43" s="628"/>
      <c r="U43" s="629"/>
      <c r="V43" s="627"/>
      <c r="W43" s="628"/>
      <c r="X43" s="629"/>
      <c r="Y43" s="627"/>
      <c r="Z43" s="628"/>
      <c r="AA43" s="629"/>
      <c r="AB43" s="627"/>
      <c r="AC43" s="628"/>
      <c r="AD43" s="630"/>
      <c r="AE43" s="313">
        <f t="shared" ref="AE43:AE46" si="7">AH43/100</f>
        <v>4.5</v>
      </c>
      <c r="AF43" s="385">
        <f t="shared" si="6"/>
        <v>760</v>
      </c>
      <c r="AG43" s="372"/>
      <c r="AH43" s="373">
        <v>450</v>
      </c>
      <c r="AI43" s="231"/>
      <c r="AJ43" s="280"/>
      <c r="AK43" s="280"/>
      <c r="AL43" s="280"/>
      <c r="AM43" s="280"/>
      <c r="AN43" s="280"/>
      <c r="AO43" s="280"/>
      <c r="AP43" s="280"/>
      <c r="AQ43" s="280"/>
      <c r="AR43" s="280"/>
      <c r="AS43" s="280"/>
      <c r="AT43" s="280"/>
      <c r="AU43" s="280"/>
      <c r="AV43" s="280"/>
      <c r="AW43" s="280"/>
      <c r="AX43" s="280"/>
      <c r="AY43" s="280"/>
      <c r="AZ43" s="280"/>
    </row>
    <row r="44" spans="1:52" s="280" customFormat="1" ht="13.2" customHeight="1" x14ac:dyDescent="0.35">
      <c r="A44" s="280">
        <f t="shared" ca="1" si="5"/>
        <v>0.24493168853283342</v>
      </c>
      <c r="B44" s="200">
        <v>18</v>
      </c>
      <c r="C44" s="200">
        <v>62</v>
      </c>
      <c r="D44" s="365" t="e">
        <f>VLOOKUP(C44,Уч!$A$2:$L$34,2,FALSE)</f>
        <v>#N/A</v>
      </c>
      <c r="E44" s="366" t="e">
        <f>VLOOKUP(C44,Уч!$A$2:$L$34,3,FALSE)</f>
        <v>#N/A</v>
      </c>
      <c r="F44" s="367" t="e">
        <f>VLOOKUP(C44,Уч!$A$2:$L$34,5,FALSE)</f>
        <v>#N/A</v>
      </c>
      <c r="G44" s="381"/>
      <c r="H44" s="382"/>
      <c r="I44" s="383"/>
      <c r="J44" s="381"/>
      <c r="K44" s="382"/>
      <c r="L44" s="383"/>
      <c r="M44" s="381"/>
      <c r="N44" s="382"/>
      <c r="O44" s="383"/>
      <c r="P44" s="381"/>
      <c r="Q44" s="382"/>
      <c r="R44" s="383"/>
      <c r="S44" s="381"/>
      <c r="T44" s="382"/>
      <c r="U44" s="383"/>
      <c r="V44" s="381"/>
      <c r="W44" s="382"/>
      <c r="X44" s="383"/>
      <c r="Y44" s="381"/>
      <c r="Z44" s="382"/>
      <c r="AA44" s="383"/>
      <c r="AB44" s="381"/>
      <c r="AC44" s="382"/>
      <c r="AD44" s="384"/>
      <c r="AE44" s="294">
        <f t="shared" si="7"/>
        <v>4.9000000000000004</v>
      </c>
      <c r="AF44" s="385">
        <f t="shared" si="6"/>
        <v>880</v>
      </c>
      <c r="AG44" s="372"/>
      <c r="AH44" s="373">
        <v>490</v>
      </c>
      <c r="AI44" s="231"/>
    </row>
    <row r="45" spans="1:52" s="280" customFormat="1" ht="13.2" customHeight="1" x14ac:dyDescent="0.35">
      <c r="A45" s="280">
        <f t="shared" ca="1" si="5"/>
        <v>0.15184311081713886</v>
      </c>
      <c r="B45" s="200">
        <v>19</v>
      </c>
      <c r="C45" s="200">
        <v>13</v>
      </c>
      <c r="D45" s="365" t="e">
        <f>VLOOKUP(C45,Уч!$A$2:$L$34,2,FALSE)</f>
        <v>#N/A</v>
      </c>
      <c r="E45" s="366" t="e">
        <f>VLOOKUP(C45,Уч!$A$2:$L$34,3,FALSE)</f>
        <v>#N/A</v>
      </c>
      <c r="F45" s="367" t="e">
        <f>VLOOKUP(C45,Уч!$A$2:$L$34,5,FALSE)</f>
        <v>#N/A</v>
      </c>
      <c r="G45" s="381"/>
      <c r="H45" s="382"/>
      <c r="I45" s="383"/>
      <c r="J45" s="381"/>
      <c r="K45" s="382"/>
      <c r="L45" s="383"/>
      <c r="M45" s="381"/>
      <c r="N45" s="382"/>
      <c r="O45" s="383"/>
      <c r="P45" s="381"/>
      <c r="Q45" s="382"/>
      <c r="R45" s="383"/>
      <c r="S45" s="381"/>
      <c r="T45" s="382"/>
      <c r="U45" s="383"/>
      <c r="V45" s="381"/>
      <c r="W45" s="382"/>
      <c r="X45" s="383"/>
      <c r="Y45" s="381"/>
      <c r="Z45" s="382"/>
      <c r="AA45" s="383"/>
      <c r="AB45" s="381"/>
      <c r="AC45" s="382"/>
      <c r="AD45" s="384"/>
      <c r="AE45" s="294">
        <f t="shared" si="7"/>
        <v>5.0999999999999996</v>
      </c>
      <c r="AF45" s="385">
        <f t="shared" si="6"/>
        <v>941</v>
      </c>
      <c r="AG45" s="372"/>
      <c r="AH45" s="373">
        <v>510</v>
      </c>
      <c r="AI45" s="231"/>
    </row>
    <row r="46" spans="1:52" s="280" customFormat="1" ht="13.2" customHeight="1" x14ac:dyDescent="0.35">
      <c r="A46" s="280">
        <f t="shared" ca="1" si="5"/>
        <v>0.57004765071381946</v>
      </c>
      <c r="B46" s="200">
        <v>20</v>
      </c>
      <c r="C46" s="200">
        <v>33</v>
      </c>
      <c r="D46" s="365" t="e">
        <f>VLOOKUP(C46,Уч!$A$2:$L$34,2,FALSE)</f>
        <v>#N/A</v>
      </c>
      <c r="E46" s="366" t="e">
        <f>VLOOKUP(C46,Уч!$A$2:$L$34,3,FALSE)</f>
        <v>#N/A</v>
      </c>
      <c r="F46" s="367" t="e">
        <f>VLOOKUP(C46,Уч!$A$2:$L$34,5,FALSE)</f>
        <v>#N/A</v>
      </c>
      <c r="G46" s="381"/>
      <c r="H46" s="382"/>
      <c r="I46" s="383"/>
      <c r="J46" s="381"/>
      <c r="K46" s="382"/>
      <c r="L46" s="383"/>
      <c r="M46" s="381"/>
      <c r="N46" s="382"/>
      <c r="O46" s="383"/>
      <c r="P46" s="381"/>
      <c r="Q46" s="382"/>
      <c r="R46" s="383"/>
      <c r="S46" s="381"/>
      <c r="T46" s="382"/>
      <c r="U46" s="383"/>
      <c r="V46" s="381"/>
      <c r="W46" s="382"/>
      <c r="X46" s="383"/>
      <c r="Y46" s="381"/>
      <c r="Z46" s="382"/>
      <c r="AA46" s="383"/>
      <c r="AB46" s="381"/>
      <c r="AC46" s="382"/>
      <c r="AD46" s="384"/>
      <c r="AE46" s="294">
        <f t="shared" si="7"/>
        <v>0</v>
      </c>
      <c r="AF46" s="385">
        <f t="shared" si="6"/>
        <v>0</v>
      </c>
      <c r="AG46" s="372"/>
      <c r="AH46" s="373">
        <v>0</v>
      </c>
      <c r="AI46" s="231"/>
    </row>
    <row r="47" spans="1:52" s="280" customFormat="1" x14ac:dyDescent="0.25">
      <c r="A47" s="280">
        <f t="shared" ref="A47:A53" ca="1" si="8">RAND()</f>
        <v>0.7698657650565317</v>
      </c>
      <c r="B47" s="200">
        <v>22</v>
      </c>
      <c r="C47" s="220">
        <v>21</v>
      </c>
      <c r="D47" s="365" t="str">
        <f>VLOOKUP(C47,Уч!$A$2:$L$34,2,FALSE)</f>
        <v>Гасленко Кирилл</v>
      </c>
      <c r="E47" s="366">
        <f>VLOOKUP(C47,Уч!$A$2:$L$34,3,FALSE)</f>
        <v>36317</v>
      </c>
      <c r="F47" s="367" t="str">
        <f>VLOOKUP(C47,Уч!$A$2:$L$34,5,FALSE)</f>
        <v xml:space="preserve">Краснодарский край  </v>
      </c>
      <c r="G47" s="381"/>
      <c r="H47" s="382"/>
      <c r="I47" s="383"/>
      <c r="J47" s="381"/>
      <c r="K47" s="382"/>
      <c r="L47" s="383"/>
      <c r="M47" s="381"/>
      <c r="N47" s="382"/>
      <c r="O47" s="383"/>
      <c r="P47" s="381"/>
      <c r="Q47" s="382"/>
      <c r="R47" s="383"/>
      <c r="S47" s="381"/>
      <c r="T47" s="382"/>
      <c r="U47" s="383"/>
      <c r="V47" s="381"/>
      <c r="W47" s="382"/>
      <c r="X47" s="383"/>
      <c r="Y47" s="381"/>
      <c r="Z47" s="382"/>
      <c r="AA47" s="383"/>
      <c r="AB47" s="381"/>
      <c r="AC47" s="382"/>
      <c r="AD47" s="384"/>
      <c r="AE47" s="284">
        <f t="shared" ref="AE47:AE53" si="9">AH47/100</f>
        <v>0</v>
      </c>
      <c r="AF47" s="385">
        <f t="shared" ref="AF47:AF53" si="10">IF(AH47&lt;103,0,IF(AH47=0,"0",ROUNDDOWN(0.2797*(AH47-100)^1.35,0)))</f>
        <v>0</v>
      </c>
      <c r="AG47" s="372"/>
      <c r="AH47" s="373"/>
      <c r="AI47" s="231"/>
    </row>
    <row r="48" spans="1:52" s="280" customFormat="1" x14ac:dyDescent="0.25">
      <c r="A48" s="280">
        <f t="shared" ca="1" si="8"/>
        <v>0.91256652513013459</v>
      </c>
      <c r="B48" s="200">
        <v>23</v>
      </c>
      <c r="C48" s="220">
        <v>28</v>
      </c>
      <c r="D48" s="365" t="e">
        <f>VLOOKUP(C48,Уч!$A$2:$L$34,2,FALSE)</f>
        <v>#N/A</v>
      </c>
      <c r="E48" s="366" t="e">
        <f>VLOOKUP(C48,Уч!$A$2:$L$34,3,FALSE)</f>
        <v>#N/A</v>
      </c>
      <c r="F48" s="367" t="e">
        <f>VLOOKUP(C48,Уч!$A$2:$L$34,5,FALSE)</f>
        <v>#N/A</v>
      </c>
      <c r="G48" s="381"/>
      <c r="H48" s="382"/>
      <c r="I48" s="383"/>
      <c r="J48" s="381"/>
      <c r="K48" s="382"/>
      <c r="L48" s="383"/>
      <c r="M48" s="381"/>
      <c r="N48" s="382"/>
      <c r="O48" s="383"/>
      <c r="P48" s="381"/>
      <c r="Q48" s="382"/>
      <c r="R48" s="383"/>
      <c r="S48" s="381"/>
      <c r="T48" s="382"/>
      <c r="U48" s="383"/>
      <c r="V48" s="381"/>
      <c r="W48" s="382"/>
      <c r="X48" s="383"/>
      <c r="Y48" s="381"/>
      <c r="Z48" s="382"/>
      <c r="AA48" s="383"/>
      <c r="AB48" s="381"/>
      <c r="AC48" s="382"/>
      <c r="AD48" s="384"/>
      <c r="AE48" s="284">
        <f t="shared" si="9"/>
        <v>0</v>
      </c>
      <c r="AF48" s="385">
        <f t="shared" si="10"/>
        <v>0</v>
      </c>
      <c r="AG48" s="372"/>
      <c r="AH48" s="373"/>
      <c r="AI48" s="231"/>
      <c r="AJ48" s="287"/>
      <c r="AK48" s="287"/>
      <c r="AL48" s="287"/>
      <c r="AM48" s="287"/>
      <c r="AN48" s="287"/>
      <c r="AO48" s="287"/>
      <c r="AP48" s="287"/>
      <c r="AQ48" s="287"/>
      <c r="AR48" s="287"/>
      <c r="AS48" s="287"/>
      <c r="AT48" s="287"/>
      <c r="AU48" s="287"/>
      <c r="AV48" s="287"/>
      <c r="AW48" s="287"/>
      <c r="AX48" s="287"/>
      <c r="AY48" s="287"/>
      <c r="AZ48" s="287"/>
    </row>
    <row r="49" spans="1:35" s="280" customFormat="1" x14ac:dyDescent="0.25">
      <c r="A49" s="280">
        <f t="shared" ca="1" si="8"/>
        <v>0.74093588302802882</v>
      </c>
      <c r="B49" s="200">
        <v>24</v>
      </c>
      <c r="C49" s="230">
        <v>38</v>
      </c>
      <c r="D49" s="365" t="e">
        <f>VLOOKUP(C49,Уч!$A$2:$L$34,2,FALSE)</f>
        <v>#N/A</v>
      </c>
      <c r="E49" s="366" t="e">
        <f>VLOOKUP(C49,Уч!$A$2:$L$34,3,FALSE)</f>
        <v>#N/A</v>
      </c>
      <c r="F49" s="367" t="e">
        <f>VLOOKUP(C49,Уч!$A$2:$L$34,5,FALSE)</f>
        <v>#N/A</v>
      </c>
      <c r="G49" s="381"/>
      <c r="H49" s="382"/>
      <c r="I49" s="383"/>
      <c r="J49" s="381"/>
      <c r="K49" s="382"/>
      <c r="L49" s="383"/>
      <c r="M49" s="381"/>
      <c r="N49" s="382"/>
      <c r="O49" s="383"/>
      <c r="P49" s="381"/>
      <c r="Q49" s="382"/>
      <c r="R49" s="383"/>
      <c r="S49" s="381"/>
      <c r="T49" s="382"/>
      <c r="U49" s="383"/>
      <c r="V49" s="381"/>
      <c r="W49" s="382"/>
      <c r="X49" s="383"/>
      <c r="Y49" s="381"/>
      <c r="Z49" s="382"/>
      <c r="AA49" s="383"/>
      <c r="AB49" s="381"/>
      <c r="AC49" s="382"/>
      <c r="AD49" s="384"/>
      <c r="AE49" s="284">
        <f t="shared" si="9"/>
        <v>0</v>
      </c>
      <c r="AF49" s="385">
        <f t="shared" si="10"/>
        <v>0</v>
      </c>
      <c r="AG49" s="372"/>
      <c r="AH49" s="373"/>
      <c r="AI49" s="231"/>
    </row>
    <row r="50" spans="1:35" s="280" customFormat="1" x14ac:dyDescent="0.25">
      <c r="A50" s="280">
        <f t="shared" ca="1" si="8"/>
        <v>0.50516881474751762</v>
      </c>
      <c r="B50" s="200">
        <v>25</v>
      </c>
      <c r="C50" s="230">
        <v>39</v>
      </c>
      <c r="D50" s="365" t="str">
        <f>VLOOKUP(C50,Уч!$A$2:$L$34,2,FALSE)</f>
        <v>Левковский Андрей</v>
      </c>
      <c r="E50" s="366" t="str">
        <f>VLOOKUP(C50,Уч!$A$2:$L$34,3,FALSE)</f>
        <v>17.08.1997</v>
      </c>
      <c r="F50" s="367" t="str">
        <f>VLOOKUP(C50,Уч!$A$2:$L$34,5,FALSE)</f>
        <v xml:space="preserve">Кемеровская область  </v>
      </c>
      <c r="G50" s="381"/>
      <c r="H50" s="382"/>
      <c r="I50" s="383"/>
      <c r="J50" s="381"/>
      <c r="K50" s="382"/>
      <c r="L50" s="383"/>
      <c r="M50" s="381"/>
      <c r="N50" s="382"/>
      <c r="O50" s="383"/>
      <c r="P50" s="381"/>
      <c r="Q50" s="382"/>
      <c r="R50" s="383"/>
      <c r="S50" s="381"/>
      <c r="T50" s="382"/>
      <c r="U50" s="383"/>
      <c r="V50" s="381"/>
      <c r="W50" s="382"/>
      <c r="X50" s="383"/>
      <c r="Y50" s="381"/>
      <c r="Z50" s="382"/>
      <c r="AA50" s="383"/>
      <c r="AB50" s="381"/>
      <c r="AC50" s="382"/>
      <c r="AD50" s="384"/>
      <c r="AE50" s="284">
        <f t="shared" si="9"/>
        <v>0</v>
      </c>
      <c r="AF50" s="385">
        <f t="shared" si="10"/>
        <v>0</v>
      </c>
      <c r="AG50" s="372"/>
      <c r="AH50" s="373"/>
      <c r="AI50" s="231"/>
    </row>
    <row r="51" spans="1:35" s="280" customFormat="1" x14ac:dyDescent="0.25">
      <c r="A51" s="280">
        <f t="shared" ca="1" si="8"/>
        <v>0.62530574014562224</v>
      </c>
      <c r="B51" s="200">
        <v>27</v>
      </c>
      <c r="C51" s="230">
        <v>40</v>
      </c>
      <c r="D51" s="292" t="str">
        <f>VLOOKUP(C51,Уч!$A$2:$L$34,2,FALSE)</f>
        <v>Черкасов Алексей</v>
      </c>
      <c r="E51" s="293" t="str">
        <f>VLOOKUP(C51,Уч!$A$2:$L$34,3,FALSE)</f>
        <v>22.10.1994</v>
      </c>
      <c r="F51" s="367" t="str">
        <f>VLOOKUP(C51,Уч!$A$2:$L$34,5,FALSE)</f>
        <v xml:space="preserve">Кемеровская область Санкт-Петербург </v>
      </c>
      <c r="G51" s="381"/>
      <c r="H51" s="382"/>
      <c r="I51" s="383"/>
      <c r="J51" s="381"/>
      <c r="K51" s="382"/>
      <c r="L51" s="383"/>
      <c r="M51" s="381"/>
      <c r="N51" s="382"/>
      <c r="O51" s="383"/>
      <c r="P51" s="381"/>
      <c r="Q51" s="382"/>
      <c r="R51" s="383"/>
      <c r="S51" s="381"/>
      <c r="T51" s="382"/>
      <c r="U51" s="383"/>
      <c r="V51" s="381"/>
      <c r="W51" s="382"/>
      <c r="X51" s="383"/>
      <c r="Y51" s="381"/>
      <c r="Z51" s="382"/>
      <c r="AA51" s="383"/>
      <c r="AB51" s="381"/>
      <c r="AC51" s="382"/>
      <c r="AD51" s="384"/>
      <c r="AE51" s="284">
        <f t="shared" si="9"/>
        <v>0</v>
      </c>
      <c r="AF51" s="385">
        <f t="shared" si="10"/>
        <v>0</v>
      </c>
      <c r="AG51" s="372"/>
      <c r="AH51" s="373"/>
    </row>
    <row r="52" spans="1:35" s="280" customFormat="1" x14ac:dyDescent="0.25">
      <c r="A52" s="280">
        <f t="shared" ca="1" si="8"/>
        <v>0.88849264464134237</v>
      </c>
      <c r="B52" s="200">
        <v>28</v>
      </c>
      <c r="C52" s="220">
        <v>41</v>
      </c>
      <c r="D52" s="292" t="str">
        <f>VLOOKUP(C52,Уч!$A$2:$L$34,2,FALSE)</f>
        <v>Фомичев Андрей</v>
      </c>
      <c r="E52" s="293" t="str">
        <f>VLOOKUP(C52,Уч!$A$2:$L$34,3,FALSE)</f>
        <v>15.12.1996</v>
      </c>
      <c r="F52" s="367" t="str">
        <f>VLOOKUP(C52,Уч!$A$2:$L$34,5,FALSE)</f>
        <v xml:space="preserve">Кемеровская область  </v>
      </c>
      <c r="G52" s="381"/>
      <c r="H52" s="382"/>
      <c r="I52" s="383"/>
      <c r="J52" s="381"/>
      <c r="K52" s="382"/>
      <c r="L52" s="383"/>
      <c r="M52" s="381"/>
      <c r="N52" s="382"/>
      <c r="O52" s="383"/>
      <c r="P52" s="381"/>
      <c r="Q52" s="382"/>
      <c r="R52" s="383"/>
      <c r="S52" s="381"/>
      <c r="T52" s="382"/>
      <c r="U52" s="383"/>
      <c r="V52" s="381"/>
      <c r="W52" s="382"/>
      <c r="X52" s="383"/>
      <c r="Y52" s="381"/>
      <c r="Z52" s="382"/>
      <c r="AA52" s="383"/>
      <c r="AB52" s="381"/>
      <c r="AC52" s="382"/>
      <c r="AD52" s="384"/>
      <c r="AE52" s="284">
        <f t="shared" si="9"/>
        <v>0</v>
      </c>
      <c r="AF52" s="385">
        <f t="shared" si="10"/>
        <v>0</v>
      </c>
      <c r="AG52" s="372"/>
      <c r="AH52" s="373"/>
    </row>
    <row r="53" spans="1:35" x14ac:dyDescent="0.25">
      <c r="A53" s="41">
        <f t="shared" ca="1" si="8"/>
        <v>0.60414633273822349</v>
      </c>
      <c r="B53" s="200">
        <v>29</v>
      </c>
      <c r="C53" s="230">
        <v>66</v>
      </c>
      <c r="D53" s="221" t="e">
        <f>VLOOKUP(C53,Уч!$A$2:$L$34,2,FALSE)</f>
        <v>#N/A</v>
      </c>
      <c r="E53" s="222" t="e">
        <f>VLOOKUP(C53,Уч!$A$2:$L$34,3,FALSE)</f>
        <v>#N/A</v>
      </c>
      <c r="F53" s="269" t="e">
        <f>VLOOKUP(C53,Уч!$A$2:$L$34,5,FALSE)</f>
        <v>#N/A</v>
      </c>
      <c r="G53" s="386"/>
      <c r="H53" s="387"/>
      <c r="I53" s="388"/>
      <c r="J53" s="386"/>
      <c r="K53" s="387"/>
      <c r="L53" s="388"/>
      <c r="M53" s="386"/>
      <c r="N53" s="387"/>
      <c r="O53" s="388"/>
      <c r="P53" s="386"/>
      <c r="Q53" s="387"/>
      <c r="R53" s="388"/>
      <c r="S53" s="386"/>
      <c r="T53" s="387"/>
      <c r="U53" s="388"/>
      <c r="V53" s="386"/>
      <c r="W53" s="387"/>
      <c r="X53" s="388"/>
      <c r="Y53" s="386"/>
      <c r="Z53" s="387"/>
      <c r="AA53" s="388"/>
      <c r="AB53" s="386"/>
      <c r="AC53" s="387"/>
      <c r="AD53" s="389"/>
      <c r="AE53" s="284">
        <f t="shared" si="9"/>
        <v>0</v>
      </c>
      <c r="AF53" s="385">
        <f t="shared" si="10"/>
        <v>0</v>
      </c>
      <c r="AG53" s="372"/>
      <c r="AH53" s="373"/>
      <c r="AI53" s="148"/>
    </row>
  </sheetData>
  <sortState ref="A15:AZ26">
    <sortCondition descending="1" ref="A15:A26"/>
  </sortState>
  <mergeCells count="7">
    <mergeCell ref="B7:AE7"/>
    <mergeCell ref="B1:AE1"/>
    <mergeCell ref="B2:AE2"/>
    <mergeCell ref="B3:AE3"/>
    <mergeCell ref="B4:AE4"/>
    <mergeCell ref="B5:AE5"/>
    <mergeCell ref="B6:AE6"/>
  </mergeCells>
  <printOptions horizontalCentered="1"/>
  <pageMargins left="0.59055118110236227" right="0.59055118110236227" top="0.78740157480314965" bottom="0.78740157480314965" header="0.51181102362204722" footer="0.51181102362204722"/>
  <pageSetup paperSize="9" scale="93" orientation="landscape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52"/>
  <sheetViews>
    <sheetView view="pageBreakPreview" topLeftCell="A4" zoomScaleSheetLayoutView="100" workbookViewId="0">
      <selection activeCell="B56" sqref="B56:B58"/>
    </sheetView>
  </sheetViews>
  <sheetFormatPr defaultColWidth="9.109375" defaultRowHeight="13.2" outlineLevelRow="1" outlineLevelCol="1" x14ac:dyDescent="0.25"/>
  <cols>
    <col min="1" max="1" width="10.88671875" style="41" customWidth="1" outlineLevel="1"/>
    <col min="2" max="2" width="5.77734375" style="41" customWidth="1"/>
    <col min="3" max="3" width="4.88671875" style="148" customWidth="1"/>
    <col min="4" max="4" width="21.5546875" style="41" customWidth="1"/>
    <col min="5" max="5" width="9.33203125" style="41" customWidth="1" outlineLevel="1"/>
    <col min="6" max="6" width="21" style="41" customWidth="1" outlineLevel="1"/>
    <col min="7" max="8" width="11" style="148" customWidth="1" outlineLevel="1"/>
    <col min="9" max="9" width="11" style="41" customWidth="1" outlineLevel="1"/>
    <col min="10" max="10" width="10.5546875" style="41" bestFit="1" customWidth="1"/>
    <col min="11" max="11" width="5.6640625" style="149" bestFit="1" customWidth="1"/>
    <col min="12" max="12" width="5.6640625" style="149" customWidth="1"/>
    <col min="13" max="15" width="5" style="234" customWidth="1" outlineLevel="1"/>
    <col min="16" max="16" width="8" style="41" customWidth="1" outlineLevel="1"/>
    <col min="17" max="16384" width="9.109375" style="41"/>
  </cols>
  <sheetData>
    <row r="1" spans="1:28" ht="13.2" customHeight="1" x14ac:dyDescent="0.25">
      <c r="B1" s="805" t="str">
        <f>Расп!A21</f>
        <v>МИНИСТЕРСТВО СПОРТА РОССИЙСКОЙ ФЕДЕРАЦИИ</v>
      </c>
      <c r="C1" s="805"/>
      <c r="D1" s="805"/>
      <c r="E1" s="805"/>
      <c r="F1" s="805"/>
      <c r="G1" s="805"/>
      <c r="H1" s="805"/>
      <c r="I1" s="805"/>
      <c r="J1" s="805"/>
      <c r="M1" s="243"/>
      <c r="N1" s="243"/>
      <c r="O1" s="243"/>
      <c r="P1" s="145"/>
    </row>
    <row r="2" spans="1:28" ht="13.2" customHeight="1" x14ac:dyDescent="0.25">
      <c r="B2" s="805" t="str">
        <f>Расп!A22</f>
        <v>ВСЕРОССИЙСКАЯ ФЕДЕРАЦИЯ ЛЕГКОЙ АТЛЕТИКИ</v>
      </c>
      <c r="C2" s="805"/>
      <c r="D2" s="805"/>
      <c r="E2" s="805"/>
      <c r="F2" s="805"/>
      <c r="G2" s="805"/>
      <c r="H2" s="805"/>
      <c r="I2" s="805"/>
      <c r="J2" s="805"/>
      <c r="M2" s="243"/>
      <c r="N2" s="243"/>
      <c r="O2" s="243"/>
      <c r="P2" s="145"/>
    </row>
    <row r="3" spans="1:28" ht="13.2" customHeight="1" x14ac:dyDescent="0.25">
      <c r="B3" s="805" t="str">
        <f>Расп!A25</f>
        <v>Командный чемпионат России</v>
      </c>
      <c r="C3" s="805"/>
      <c r="D3" s="805"/>
      <c r="E3" s="805"/>
      <c r="F3" s="805"/>
      <c r="G3" s="805"/>
      <c r="H3" s="805"/>
      <c r="I3" s="805"/>
      <c r="J3" s="805"/>
      <c r="M3" s="243"/>
      <c r="N3" s="243"/>
      <c r="O3" s="243"/>
      <c r="P3" s="145"/>
    </row>
    <row r="4" spans="1:28" ht="13.2" customHeight="1" x14ac:dyDescent="0.25">
      <c r="B4" s="802" t="str">
        <f>Расп!A27</f>
        <v>по многоборью</v>
      </c>
      <c r="C4" s="802"/>
      <c r="D4" s="802"/>
      <c r="E4" s="802"/>
      <c r="F4" s="802"/>
      <c r="G4" s="802"/>
      <c r="H4" s="802"/>
      <c r="I4" s="802"/>
      <c r="J4" s="802"/>
      <c r="M4" s="243"/>
      <c r="N4" s="243"/>
      <c r="O4" s="243"/>
      <c r="P4" s="145"/>
    </row>
    <row r="5" spans="1:28" ht="13.2" customHeight="1" x14ac:dyDescent="0.25">
      <c r="B5" s="802" t="str">
        <f>Расп!A28</f>
        <v>Мужчины</v>
      </c>
      <c r="C5" s="802"/>
      <c r="D5" s="802"/>
      <c r="E5" s="802"/>
      <c r="F5" s="802"/>
      <c r="G5" s="802"/>
      <c r="H5" s="802"/>
      <c r="I5" s="802"/>
      <c r="J5" s="802"/>
      <c r="M5" s="243"/>
      <c r="N5" s="243"/>
      <c r="O5" s="243"/>
      <c r="P5" s="145"/>
    </row>
    <row r="6" spans="1:28" ht="13.2" customHeight="1" x14ac:dyDescent="0.25">
      <c r="B6" s="801" t="s">
        <v>12</v>
      </c>
      <c r="C6" s="801"/>
      <c r="D6" s="801"/>
      <c r="E6" s="801"/>
      <c r="F6" s="801"/>
      <c r="G6" s="801"/>
      <c r="H6" s="801"/>
      <c r="I6" s="801"/>
      <c r="J6" s="801"/>
      <c r="M6" s="243"/>
      <c r="N6" s="243"/>
      <c r="O6" s="243"/>
      <c r="P6" s="145"/>
    </row>
    <row r="7" spans="1:28" ht="13.2" customHeight="1" x14ac:dyDescent="0.25">
      <c r="B7" s="801" t="str">
        <f>Расп!A11</f>
        <v>метание копья (800 г)</v>
      </c>
      <c r="C7" s="801"/>
      <c r="D7" s="801"/>
      <c r="E7" s="801"/>
      <c r="F7" s="801"/>
      <c r="G7" s="801"/>
      <c r="H7" s="801"/>
      <c r="I7" s="801"/>
      <c r="J7" s="801"/>
      <c r="M7" s="243"/>
      <c r="N7" s="243"/>
      <c r="O7" s="243"/>
      <c r="P7" s="145"/>
    </row>
    <row r="8" spans="1:28" ht="13.2" hidden="1" customHeight="1" x14ac:dyDescent="0.25">
      <c r="C8" s="211"/>
      <c r="D8" s="148"/>
      <c r="G8" s="256"/>
      <c r="H8" s="41"/>
      <c r="M8" s="243"/>
      <c r="N8" s="243"/>
      <c r="O8" s="243"/>
      <c r="P8" s="145"/>
    </row>
    <row r="9" spans="1:28" ht="13.2" hidden="1" customHeight="1" x14ac:dyDescent="0.25">
      <c r="C9" s="147"/>
      <c r="D9" s="38"/>
      <c r="G9" s="256"/>
      <c r="H9" s="150"/>
      <c r="J9" s="147"/>
      <c r="M9" s="243"/>
      <c r="N9" s="243"/>
      <c r="O9" s="243"/>
      <c r="P9" s="152" t="s">
        <v>22</v>
      </c>
    </row>
    <row r="10" spans="1:28" ht="13.2" hidden="1" customHeight="1" outlineLevel="1" x14ac:dyDescent="0.3">
      <c r="C10" s="380"/>
      <c r="D10" s="148"/>
      <c r="E10" s="148"/>
      <c r="F10" s="390"/>
      <c r="G10" s="256"/>
      <c r="H10" s="212"/>
      <c r="J10" s="214"/>
      <c r="M10" s="243"/>
      <c r="N10" s="243"/>
      <c r="O10" s="243"/>
      <c r="P10" s="152" t="s">
        <v>23</v>
      </c>
    </row>
    <row r="11" spans="1:28" ht="13.2" hidden="1" customHeight="1" x14ac:dyDescent="0.3">
      <c r="C11" s="153"/>
      <c r="D11" s="148"/>
      <c r="E11" s="148"/>
      <c r="H11" s="250"/>
      <c r="J11" s="214"/>
      <c r="M11" s="243"/>
      <c r="N11" s="243"/>
      <c r="O11" s="243"/>
      <c r="P11" s="152" t="s">
        <v>24</v>
      </c>
    </row>
    <row r="12" spans="1:28" ht="13.2" customHeight="1" outlineLevel="1" x14ac:dyDescent="0.3">
      <c r="B12" s="203" t="str">
        <f>Расп!A7</f>
        <v>19.05.2019 г.</v>
      </c>
      <c r="C12" s="153"/>
      <c r="D12" s="148"/>
      <c r="E12" s="148"/>
      <c r="F12" s="607"/>
      <c r="G12" s="41"/>
      <c r="H12" s="390"/>
      <c r="I12" s="206" t="str">
        <f>Расп!B1</f>
        <v>Начало:</v>
      </c>
      <c r="J12" s="207">
        <v>0.66666666666666663</v>
      </c>
      <c r="M12" s="243"/>
      <c r="N12" s="243"/>
      <c r="O12" s="243"/>
      <c r="P12" s="145"/>
    </row>
    <row r="13" spans="1:28" ht="13.2" customHeight="1" x14ac:dyDescent="0.3">
      <c r="B13" s="41" t="str">
        <f>Расп!A26</f>
        <v>г.Сочи, Адлерский район, стадион "Юность"</v>
      </c>
      <c r="C13" s="153"/>
      <c r="D13" s="148"/>
      <c r="E13" s="148"/>
      <c r="G13" s="151"/>
      <c r="H13" s="41"/>
      <c r="I13" s="206" t="str">
        <f>Расп!C1</f>
        <v>Окончание:</v>
      </c>
      <c r="M13" s="243"/>
      <c r="N13" s="243"/>
      <c r="O13" s="243"/>
      <c r="P13" s="145"/>
    </row>
    <row r="14" spans="1:28" s="156" customFormat="1" ht="13.2" customHeight="1" x14ac:dyDescent="0.25">
      <c r="A14" s="154" t="s">
        <v>37</v>
      </c>
      <c r="B14" s="154" t="s">
        <v>260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>
        <v>1</v>
      </c>
      <c r="H14" s="154">
        <v>2</v>
      </c>
      <c r="I14" s="154">
        <v>3</v>
      </c>
      <c r="J14" s="154" t="s">
        <v>19</v>
      </c>
      <c r="K14" s="155" t="s">
        <v>29</v>
      </c>
      <c r="L14" s="157"/>
      <c r="M14" s="244" t="s">
        <v>31</v>
      </c>
      <c r="N14" s="244" t="s">
        <v>32</v>
      </c>
      <c r="O14" s="244" t="s">
        <v>33</v>
      </c>
      <c r="P14" s="152" t="s">
        <v>28</v>
      </c>
    </row>
    <row r="15" spans="1:28" s="287" customFormat="1" ht="13.2" customHeight="1" x14ac:dyDescent="0.35">
      <c r="A15" s="200">
        <f t="shared" ref="A15:A27" ca="1" si="0">RAND()</f>
        <v>0.22013094045587955</v>
      </c>
      <c r="B15" s="200">
        <v>1</v>
      </c>
      <c r="C15" s="162">
        <v>2</v>
      </c>
      <c r="D15" s="365" t="str">
        <f>VLOOKUP(C15,Уч!$A$2:$L$34,2,FALSE)</f>
        <v>Игнашев Владимир</v>
      </c>
      <c r="E15" s="366" t="str">
        <f>VLOOKUP(C15,Уч!$A$2:$L$34,3,FALSE)</f>
        <v>05.10.1996</v>
      </c>
      <c r="F15" s="378" t="str">
        <f>VLOOKUP(C15,Уч!$A$2:$L$34,5,FALSE)</f>
        <v xml:space="preserve">Ростовская область  </v>
      </c>
      <c r="G15" s="651">
        <f t="shared" ref="G15:G27" si="1">M15/100</f>
        <v>47.1</v>
      </c>
      <c r="H15" s="651">
        <f t="shared" ref="H15:H27" si="2">N15/100</f>
        <v>0</v>
      </c>
      <c r="I15" s="651">
        <f t="shared" ref="I15:I27" si="3">O15/100</f>
        <v>0</v>
      </c>
      <c r="J15" s="652">
        <f t="shared" ref="J15:J27" si="4">P15/100</f>
        <v>47.1</v>
      </c>
      <c r="K15" s="295">
        <f t="shared" ref="K15:K27" si="5">IF(P15&lt;712,0,IF(P15=0,0,ROUNDDOWN(10.14*(P15/100-7)^1.08,0)))</f>
        <v>546</v>
      </c>
      <c r="L15" s="372"/>
      <c r="M15" s="373">
        <v>4710</v>
      </c>
      <c r="N15" s="373">
        <v>0</v>
      </c>
      <c r="O15" s="373">
        <v>0</v>
      </c>
      <c r="P15" s="374">
        <f t="shared" ref="P15:P27" si="6">MAX(M15,N15,O15)</f>
        <v>4710</v>
      </c>
      <c r="Q15" s="280"/>
      <c r="R15" s="280"/>
      <c r="S15" s="280"/>
      <c r="T15" s="280"/>
      <c r="U15" s="280"/>
      <c r="V15" s="280"/>
      <c r="W15" s="280"/>
      <c r="X15" s="280"/>
      <c r="Y15" s="280"/>
      <c r="Z15" s="280"/>
      <c r="AA15" s="280"/>
      <c r="AB15" s="280"/>
    </row>
    <row r="16" spans="1:28" s="280" customFormat="1" ht="13.2" customHeight="1" x14ac:dyDescent="0.35">
      <c r="A16" s="200">
        <f t="shared" ca="1" si="0"/>
        <v>0.53195025804210261</v>
      </c>
      <c r="B16" s="200">
        <v>2</v>
      </c>
      <c r="C16" s="162">
        <v>9</v>
      </c>
      <c r="D16" s="365" t="e">
        <f>VLOOKUP(C16,Уч!$A$2:$L$34,2,FALSE)</f>
        <v>#N/A</v>
      </c>
      <c r="E16" s="366" t="e">
        <f>VLOOKUP(C16,Уч!$A$2:$L$34,3,FALSE)</f>
        <v>#N/A</v>
      </c>
      <c r="F16" s="378" t="e">
        <f>VLOOKUP(C16,Уч!$A$2:$L$34,5,FALSE)</f>
        <v>#N/A</v>
      </c>
      <c r="G16" s="651">
        <f t="shared" si="1"/>
        <v>0</v>
      </c>
      <c r="H16" s="651">
        <f t="shared" si="2"/>
        <v>0</v>
      </c>
      <c r="I16" s="651">
        <f t="shared" si="3"/>
        <v>0</v>
      </c>
      <c r="J16" s="652">
        <f t="shared" si="4"/>
        <v>0</v>
      </c>
      <c r="K16" s="295">
        <f t="shared" si="5"/>
        <v>0</v>
      </c>
      <c r="L16" s="372"/>
      <c r="M16" s="373"/>
      <c r="N16" s="373">
        <v>0</v>
      </c>
      <c r="O16" s="373">
        <v>0</v>
      </c>
      <c r="P16" s="374">
        <f t="shared" si="6"/>
        <v>0</v>
      </c>
      <c r="V16" s="287"/>
      <c r="W16" s="287"/>
      <c r="X16" s="287"/>
      <c r="Y16" s="287"/>
      <c r="Z16" s="287"/>
      <c r="AA16" s="287"/>
      <c r="AB16" s="287"/>
    </row>
    <row r="17" spans="1:28" s="280" customFormat="1" ht="13.2" customHeight="1" x14ac:dyDescent="0.35">
      <c r="A17" s="200">
        <f t="shared" ca="1" si="0"/>
        <v>0.97066967563370321</v>
      </c>
      <c r="B17" s="200">
        <v>3</v>
      </c>
      <c r="C17" s="162">
        <v>39</v>
      </c>
      <c r="D17" s="365" t="str">
        <f>VLOOKUP(C17,Уч!$A$2:$L$34,2,FALSE)</f>
        <v>Левковский Андрей</v>
      </c>
      <c r="E17" s="366" t="str">
        <f>VLOOKUP(C17,Уч!$A$2:$L$34,3,FALSE)</f>
        <v>17.08.1997</v>
      </c>
      <c r="F17" s="378" t="str">
        <f>VLOOKUP(C17,Уч!$A$2:$L$34,5,FALSE)</f>
        <v xml:space="preserve">Кемеровская область  </v>
      </c>
      <c r="G17" s="651">
        <f t="shared" si="1"/>
        <v>51.08</v>
      </c>
      <c r="H17" s="651">
        <f t="shared" si="2"/>
        <v>0</v>
      </c>
      <c r="I17" s="651">
        <f t="shared" si="3"/>
        <v>0</v>
      </c>
      <c r="J17" s="652">
        <f t="shared" si="4"/>
        <v>51.08</v>
      </c>
      <c r="K17" s="295">
        <f t="shared" si="5"/>
        <v>605</v>
      </c>
      <c r="L17" s="372"/>
      <c r="M17" s="373">
        <v>5108</v>
      </c>
      <c r="N17" s="373">
        <v>0</v>
      </c>
      <c r="O17" s="373">
        <v>0</v>
      </c>
      <c r="P17" s="374">
        <f t="shared" si="6"/>
        <v>5108</v>
      </c>
    </row>
    <row r="18" spans="1:28" s="280" customFormat="1" ht="13.2" customHeight="1" x14ac:dyDescent="0.35">
      <c r="A18" s="200">
        <f t="shared" ca="1" si="0"/>
        <v>0.30309988208787908</v>
      </c>
      <c r="B18" s="200">
        <v>4</v>
      </c>
      <c r="C18" s="162">
        <v>35</v>
      </c>
      <c r="D18" s="365" t="e">
        <f>VLOOKUP(C18,Уч!$A$2:$L$34,2,FALSE)</f>
        <v>#N/A</v>
      </c>
      <c r="E18" s="366" t="e">
        <f>VLOOKUP(C18,Уч!$A$2:$L$34,3,FALSE)</f>
        <v>#N/A</v>
      </c>
      <c r="F18" s="378" t="e">
        <f>VLOOKUP(C18,Уч!$A$2:$L$34,5,FALSE)</f>
        <v>#N/A</v>
      </c>
      <c r="G18" s="651">
        <f t="shared" si="1"/>
        <v>49</v>
      </c>
      <c r="H18" s="651">
        <f t="shared" si="2"/>
        <v>0</v>
      </c>
      <c r="I18" s="651">
        <f t="shared" si="3"/>
        <v>0</v>
      </c>
      <c r="J18" s="652">
        <f t="shared" si="4"/>
        <v>49</v>
      </c>
      <c r="K18" s="295">
        <f t="shared" si="5"/>
        <v>574</v>
      </c>
      <c r="L18" s="372"/>
      <c r="M18" s="373">
        <v>4900</v>
      </c>
      <c r="N18" s="373">
        <v>0</v>
      </c>
      <c r="O18" s="373">
        <v>0</v>
      </c>
      <c r="P18" s="374">
        <f t="shared" si="6"/>
        <v>4900</v>
      </c>
    </row>
    <row r="19" spans="1:28" s="280" customFormat="1" ht="13.2" customHeight="1" x14ac:dyDescent="0.35">
      <c r="A19" s="200">
        <f t="shared" ca="1" si="0"/>
        <v>0.91416940046630979</v>
      </c>
      <c r="B19" s="200">
        <v>5</v>
      </c>
      <c r="C19" s="162">
        <v>54</v>
      </c>
      <c r="D19" s="365" t="e">
        <f>VLOOKUP(C19,Уч!$A$2:$L$34,2,FALSE)</f>
        <v>#N/A</v>
      </c>
      <c r="E19" s="366" t="e">
        <f>VLOOKUP(C19,Уч!$A$2:$L$34,3,FALSE)</f>
        <v>#N/A</v>
      </c>
      <c r="F19" s="378" t="e">
        <f>VLOOKUP(C19,Уч!$A$2:$L$34,5,FALSE)</f>
        <v>#N/A</v>
      </c>
      <c r="G19" s="651">
        <f t="shared" si="1"/>
        <v>48.55</v>
      </c>
      <c r="H19" s="651">
        <f t="shared" si="2"/>
        <v>0</v>
      </c>
      <c r="I19" s="651">
        <f t="shared" si="3"/>
        <v>0</v>
      </c>
      <c r="J19" s="652">
        <f t="shared" si="4"/>
        <v>48.55</v>
      </c>
      <c r="K19" s="295">
        <f t="shared" si="5"/>
        <v>567</v>
      </c>
      <c r="L19" s="372"/>
      <c r="M19" s="373">
        <v>4855</v>
      </c>
      <c r="N19" s="373">
        <v>0</v>
      </c>
      <c r="O19" s="373">
        <v>0</v>
      </c>
      <c r="P19" s="374">
        <f t="shared" si="6"/>
        <v>4855</v>
      </c>
      <c r="Q19" s="280" t="s">
        <v>96</v>
      </c>
    </row>
    <row r="20" spans="1:28" s="280" customFormat="1" ht="13.2" customHeight="1" x14ac:dyDescent="0.35">
      <c r="A20" s="200">
        <f t="shared" ca="1" si="0"/>
        <v>4.3258307800680962E-2</v>
      </c>
      <c r="B20" s="200">
        <v>6</v>
      </c>
      <c r="C20" s="162">
        <v>56</v>
      </c>
      <c r="D20" s="365" t="e">
        <f>VLOOKUP(C20,Уч!$A$2:$L$34,2,FALSE)</f>
        <v>#N/A</v>
      </c>
      <c r="E20" s="366" t="e">
        <f>VLOOKUP(C20,Уч!$A$2:$L$34,3,FALSE)</f>
        <v>#N/A</v>
      </c>
      <c r="F20" s="378" t="e">
        <f>VLOOKUP(C20,Уч!$A$2:$L$34,5,FALSE)</f>
        <v>#N/A</v>
      </c>
      <c r="G20" s="651">
        <f t="shared" si="1"/>
        <v>46.68</v>
      </c>
      <c r="H20" s="651">
        <f t="shared" si="2"/>
        <v>0</v>
      </c>
      <c r="I20" s="651">
        <f t="shared" si="3"/>
        <v>0</v>
      </c>
      <c r="J20" s="652">
        <f t="shared" si="4"/>
        <v>46.68</v>
      </c>
      <c r="K20" s="295">
        <f t="shared" si="5"/>
        <v>540</v>
      </c>
      <c r="L20" s="372"/>
      <c r="M20" s="373">
        <v>4668</v>
      </c>
      <c r="N20" s="373">
        <v>0</v>
      </c>
      <c r="O20" s="373">
        <v>0</v>
      </c>
      <c r="P20" s="374">
        <f t="shared" si="6"/>
        <v>4668</v>
      </c>
      <c r="Q20" s="280" t="s">
        <v>165</v>
      </c>
      <c r="T20" s="287"/>
      <c r="U20" s="287"/>
    </row>
    <row r="21" spans="1:28" s="280" customFormat="1" ht="13.2" customHeight="1" x14ac:dyDescent="0.35">
      <c r="A21" s="200">
        <f t="shared" ca="1" si="0"/>
        <v>0.69238831932113853</v>
      </c>
      <c r="B21" s="200">
        <v>7</v>
      </c>
      <c r="C21" s="162">
        <v>8</v>
      </c>
      <c r="D21" s="365" t="e">
        <f>VLOOKUP(C21,Уч!$A$2:$L$34,2,FALSE)</f>
        <v>#N/A</v>
      </c>
      <c r="E21" s="366" t="e">
        <f>VLOOKUP(C21,Уч!$A$2:$L$34,3,FALSE)</f>
        <v>#N/A</v>
      </c>
      <c r="F21" s="378" t="e">
        <f>VLOOKUP(C21,Уч!$A$2:$L$34,5,FALSE)</f>
        <v>#N/A</v>
      </c>
      <c r="G21" s="651">
        <f t="shared" si="1"/>
        <v>51.77</v>
      </c>
      <c r="H21" s="651">
        <f t="shared" si="2"/>
        <v>0</v>
      </c>
      <c r="I21" s="651">
        <f t="shared" si="3"/>
        <v>0</v>
      </c>
      <c r="J21" s="652">
        <f t="shared" si="4"/>
        <v>51.77</v>
      </c>
      <c r="K21" s="295">
        <f t="shared" si="5"/>
        <v>615</v>
      </c>
      <c r="L21" s="372"/>
      <c r="M21" s="373">
        <v>5177</v>
      </c>
      <c r="N21" s="373">
        <v>0</v>
      </c>
      <c r="O21" s="373">
        <v>0</v>
      </c>
      <c r="P21" s="374">
        <f t="shared" si="6"/>
        <v>5177</v>
      </c>
    </row>
    <row r="22" spans="1:28" s="280" customFormat="1" ht="13.2" customHeight="1" x14ac:dyDescent="0.35">
      <c r="A22" s="200">
        <f t="shared" ca="1" si="0"/>
        <v>1.0734844383135544E-2</v>
      </c>
      <c r="B22" s="200">
        <v>8</v>
      </c>
      <c r="C22" s="162">
        <v>40</v>
      </c>
      <c r="D22" s="365" t="str">
        <f>VLOOKUP(C22,Уч!$A$2:$L$34,2,FALSE)</f>
        <v>Черкасов Алексей</v>
      </c>
      <c r="E22" s="366" t="str">
        <f>VLOOKUP(C22,Уч!$A$2:$L$34,3,FALSE)</f>
        <v>22.10.1994</v>
      </c>
      <c r="F22" s="378" t="str">
        <f>VLOOKUP(C22,Уч!$A$2:$L$34,5,FALSE)</f>
        <v xml:space="preserve">Кемеровская область Санкт-Петербург </v>
      </c>
      <c r="G22" s="651">
        <f t="shared" si="1"/>
        <v>53.68</v>
      </c>
      <c r="H22" s="651">
        <f t="shared" si="2"/>
        <v>0</v>
      </c>
      <c r="I22" s="651">
        <f t="shared" si="3"/>
        <v>0</v>
      </c>
      <c r="J22" s="652">
        <f t="shared" si="4"/>
        <v>53.68</v>
      </c>
      <c r="K22" s="295">
        <f t="shared" si="5"/>
        <v>643</v>
      </c>
      <c r="L22" s="372"/>
      <c r="M22" s="373">
        <v>5368</v>
      </c>
      <c r="N22" s="373">
        <v>0</v>
      </c>
      <c r="O22" s="373">
        <v>0</v>
      </c>
      <c r="P22" s="374">
        <f t="shared" si="6"/>
        <v>5368</v>
      </c>
      <c r="Q22" s="231" t="s">
        <v>165</v>
      </c>
      <c r="R22" s="231"/>
      <c r="S22" s="231"/>
      <c r="V22" s="287"/>
      <c r="W22" s="287"/>
      <c r="X22" s="287"/>
      <c r="Y22" s="287"/>
      <c r="Z22" s="287"/>
      <c r="AA22" s="287"/>
      <c r="AB22" s="287"/>
    </row>
    <row r="23" spans="1:28" s="280" customFormat="1" ht="13.2" customHeight="1" x14ac:dyDescent="0.35">
      <c r="A23" s="200">
        <f t="shared" ca="1" si="0"/>
        <v>0.76838014887327455</v>
      </c>
      <c r="B23" s="200">
        <v>9</v>
      </c>
      <c r="C23" s="162">
        <v>25</v>
      </c>
      <c r="D23" s="365" t="e">
        <f>VLOOKUP(C23,Уч!$A$2:$L$34,2,FALSE)</f>
        <v>#N/A</v>
      </c>
      <c r="E23" s="366" t="e">
        <f>VLOOKUP(C23,Уч!$A$2:$L$34,3,FALSE)</f>
        <v>#N/A</v>
      </c>
      <c r="F23" s="378" t="e">
        <f>VLOOKUP(C23,Уч!$A$2:$L$34,5,FALSE)</f>
        <v>#N/A</v>
      </c>
      <c r="G23" s="651">
        <f t="shared" si="1"/>
        <v>0</v>
      </c>
      <c r="H23" s="651">
        <f t="shared" si="2"/>
        <v>0</v>
      </c>
      <c r="I23" s="651">
        <f t="shared" si="3"/>
        <v>0</v>
      </c>
      <c r="J23" s="652">
        <f t="shared" si="4"/>
        <v>0</v>
      </c>
      <c r="K23" s="295">
        <f t="shared" si="5"/>
        <v>0</v>
      </c>
      <c r="L23" s="372"/>
      <c r="M23" s="373"/>
      <c r="N23" s="373">
        <v>0</v>
      </c>
      <c r="O23" s="373">
        <v>0</v>
      </c>
      <c r="P23" s="374">
        <f t="shared" si="6"/>
        <v>0</v>
      </c>
    </row>
    <row r="24" spans="1:28" s="280" customFormat="1" ht="13.2" customHeight="1" x14ac:dyDescent="0.35">
      <c r="A24" s="200">
        <f t="shared" ca="1" si="0"/>
        <v>4.7501126605752897E-2</v>
      </c>
      <c r="B24" s="200">
        <v>10</v>
      </c>
      <c r="C24" s="162">
        <v>68</v>
      </c>
      <c r="D24" s="365" t="e">
        <f>VLOOKUP(C24,Уч!$A$2:$L$34,2,FALSE)</f>
        <v>#N/A</v>
      </c>
      <c r="E24" s="366" t="e">
        <f>VLOOKUP(C24,Уч!$A$2:$L$34,3,FALSE)</f>
        <v>#N/A</v>
      </c>
      <c r="F24" s="378" t="e">
        <f>VLOOKUP(C24,Уч!$A$2:$L$34,5,FALSE)</f>
        <v>#N/A</v>
      </c>
      <c r="G24" s="651">
        <f t="shared" si="1"/>
        <v>51.33</v>
      </c>
      <c r="H24" s="651">
        <f t="shared" si="2"/>
        <v>0</v>
      </c>
      <c r="I24" s="651">
        <f t="shared" si="3"/>
        <v>0</v>
      </c>
      <c r="J24" s="652">
        <f t="shared" si="4"/>
        <v>51.33</v>
      </c>
      <c r="K24" s="295">
        <f t="shared" si="5"/>
        <v>608</v>
      </c>
      <c r="L24" s="372"/>
      <c r="M24" s="373">
        <v>5133</v>
      </c>
      <c r="N24" s="373">
        <v>0</v>
      </c>
      <c r="O24" s="373">
        <v>0</v>
      </c>
      <c r="P24" s="374">
        <f t="shared" si="6"/>
        <v>5133</v>
      </c>
    </row>
    <row r="25" spans="1:28" s="280" customFormat="1" ht="13.2" customHeight="1" x14ac:dyDescent="0.35">
      <c r="A25" s="200">
        <f t="shared" ca="1" si="0"/>
        <v>0.17968617361231809</v>
      </c>
      <c r="B25" s="200">
        <v>11</v>
      </c>
      <c r="C25" s="200">
        <v>24</v>
      </c>
      <c r="D25" s="365" t="e">
        <f>VLOOKUP(C25,Уч!$A$2:$L$34,2,FALSE)</f>
        <v>#N/A</v>
      </c>
      <c r="E25" s="366" t="e">
        <f>VLOOKUP(C25,Уч!$A$2:$L$34,3,FALSE)</f>
        <v>#N/A</v>
      </c>
      <c r="F25" s="378" t="e">
        <f>VLOOKUP(C25,Уч!$A$2:$L$34,5,FALSE)</f>
        <v>#N/A</v>
      </c>
      <c r="G25" s="651">
        <f t="shared" si="1"/>
        <v>45.16</v>
      </c>
      <c r="H25" s="651">
        <f t="shared" si="2"/>
        <v>0</v>
      </c>
      <c r="I25" s="651">
        <f t="shared" si="3"/>
        <v>0</v>
      </c>
      <c r="J25" s="652">
        <f t="shared" si="4"/>
        <v>45.16</v>
      </c>
      <c r="K25" s="295">
        <f t="shared" si="5"/>
        <v>517</v>
      </c>
      <c r="L25" s="372"/>
      <c r="M25" s="373">
        <v>4516</v>
      </c>
      <c r="N25" s="373">
        <v>0</v>
      </c>
      <c r="O25" s="373">
        <v>0</v>
      </c>
      <c r="P25" s="374">
        <f t="shared" si="6"/>
        <v>4516</v>
      </c>
      <c r="Q25" s="280" t="s">
        <v>165</v>
      </c>
    </row>
    <row r="26" spans="1:28" s="280" customFormat="1" ht="13.2" customHeight="1" x14ac:dyDescent="0.35">
      <c r="A26" s="200">
        <f t="shared" ca="1" si="0"/>
        <v>0.81072737622818736</v>
      </c>
      <c r="B26" s="200">
        <v>12</v>
      </c>
      <c r="C26" s="162">
        <v>45</v>
      </c>
      <c r="D26" s="365" t="str">
        <f>VLOOKUP(C26,Уч!$A$2:$L$34,2,FALSE)</f>
        <v>Бочаринский Данила</v>
      </c>
      <c r="E26" s="366" t="str">
        <f>VLOOKUP(C26,Уч!$A$2:$L$34,3,FALSE)</f>
        <v>12.01.1999</v>
      </c>
      <c r="F26" s="378" t="str">
        <f>VLOOKUP(C26,Уч!$A$2:$L$34,5,FALSE)</f>
        <v xml:space="preserve">Кемеровская область  </v>
      </c>
      <c r="G26" s="651">
        <f t="shared" si="1"/>
        <v>46.9</v>
      </c>
      <c r="H26" s="651">
        <f t="shared" si="2"/>
        <v>0</v>
      </c>
      <c r="I26" s="651">
        <f t="shared" si="3"/>
        <v>0</v>
      </c>
      <c r="J26" s="652">
        <f t="shared" si="4"/>
        <v>46.9</v>
      </c>
      <c r="K26" s="295">
        <f t="shared" si="5"/>
        <v>543</v>
      </c>
      <c r="L26" s="372"/>
      <c r="M26" s="373">
        <v>4690</v>
      </c>
      <c r="N26" s="373">
        <v>0</v>
      </c>
      <c r="O26" s="373">
        <v>0</v>
      </c>
      <c r="P26" s="374">
        <f t="shared" si="6"/>
        <v>4690</v>
      </c>
    </row>
    <row r="27" spans="1:28" s="280" customFormat="1" ht="13.2" customHeight="1" x14ac:dyDescent="0.35">
      <c r="A27" s="200">
        <f t="shared" ca="1" si="0"/>
        <v>0.48350099420944459</v>
      </c>
      <c r="B27" s="200">
        <v>13</v>
      </c>
      <c r="C27" s="162">
        <v>29</v>
      </c>
      <c r="D27" s="365" t="e">
        <f>VLOOKUP(C27,Уч!$A$2:$L$34,2,FALSE)</f>
        <v>#N/A</v>
      </c>
      <c r="E27" s="366" t="e">
        <f>VLOOKUP(C27,Уч!$A$2:$L$34,3,FALSE)</f>
        <v>#N/A</v>
      </c>
      <c r="F27" s="378" t="e">
        <f>VLOOKUP(C27,Уч!$A$2:$L$34,5,FALSE)</f>
        <v>#N/A</v>
      </c>
      <c r="G27" s="651">
        <f t="shared" si="1"/>
        <v>0</v>
      </c>
      <c r="H27" s="651">
        <f t="shared" si="2"/>
        <v>0</v>
      </c>
      <c r="I27" s="651">
        <f t="shared" si="3"/>
        <v>0</v>
      </c>
      <c r="J27" s="652">
        <f t="shared" si="4"/>
        <v>0</v>
      </c>
      <c r="K27" s="643">
        <f t="shared" si="5"/>
        <v>0</v>
      </c>
      <c r="L27" s="372"/>
      <c r="M27" s="373"/>
      <c r="N27" s="373">
        <v>0</v>
      </c>
      <c r="O27" s="373">
        <v>0</v>
      </c>
      <c r="P27" s="374">
        <f t="shared" si="6"/>
        <v>0</v>
      </c>
      <c r="Q27" s="280" t="s">
        <v>165</v>
      </c>
      <c r="T27" s="287"/>
      <c r="U27" s="287"/>
    </row>
    <row r="28" spans="1:28" s="280" customFormat="1" ht="13.2" customHeight="1" x14ac:dyDescent="0.35">
      <c r="A28" s="403"/>
      <c r="B28" s="200">
        <v>14</v>
      </c>
      <c r="C28" s="162">
        <v>62</v>
      </c>
      <c r="D28" s="365" t="e">
        <f>VLOOKUP(C28,Уч!$A$2:$L$34,2,FALSE)</f>
        <v>#N/A</v>
      </c>
      <c r="E28" s="366" t="e">
        <f>VLOOKUP(C28,Уч!$A$2:$L$34,3,FALSE)</f>
        <v>#N/A</v>
      </c>
      <c r="F28" s="378" t="e">
        <f>VLOOKUP(C28,Уч!$A$2:$L$34,5,FALSE)</f>
        <v>#N/A</v>
      </c>
      <c r="G28" s="651">
        <f t="shared" ref="G28:G38" si="7">M28/100</f>
        <v>0</v>
      </c>
      <c r="H28" s="651">
        <f t="shared" ref="H28:H38" si="8">N28/100</f>
        <v>0</v>
      </c>
      <c r="I28" s="651">
        <f t="shared" ref="I28:I38" si="9">O28/100</f>
        <v>0</v>
      </c>
      <c r="J28" s="652">
        <f t="shared" ref="J28:J38" si="10">P28/100</f>
        <v>0</v>
      </c>
      <c r="K28" s="643">
        <f t="shared" ref="K28:K38" si="11">IF(P28&lt;712,0,IF(P28=0,0,ROUNDDOWN(10.14*(P28/100-7)^1.08,0)))</f>
        <v>0</v>
      </c>
      <c r="L28" s="372"/>
      <c r="M28" s="373"/>
      <c r="N28" s="373">
        <v>0</v>
      </c>
      <c r="O28" s="373">
        <v>0</v>
      </c>
      <c r="P28" s="374">
        <f t="shared" ref="P28:P38" si="12">MAX(M28,N28,O28)</f>
        <v>0</v>
      </c>
      <c r="T28" s="287"/>
      <c r="U28" s="287"/>
    </row>
    <row r="29" spans="1:28" s="280" customFormat="1" ht="13.2" customHeight="1" x14ac:dyDescent="0.35">
      <c r="A29" s="403"/>
      <c r="B29" s="200">
        <v>15</v>
      </c>
      <c r="C29" s="162">
        <v>26</v>
      </c>
      <c r="D29" s="365" t="e">
        <f>VLOOKUP(C29,Уч!$A$2:$L$34,2,FALSE)</f>
        <v>#N/A</v>
      </c>
      <c r="E29" s="366" t="e">
        <f>VLOOKUP(C29,Уч!$A$2:$L$34,3,FALSE)</f>
        <v>#N/A</v>
      </c>
      <c r="F29" s="378" t="e">
        <f>VLOOKUP(C29,Уч!$A$2:$L$34,5,FALSE)</f>
        <v>#N/A</v>
      </c>
      <c r="G29" s="651">
        <f t="shared" si="7"/>
        <v>51.82</v>
      </c>
      <c r="H29" s="651">
        <f t="shared" si="8"/>
        <v>0</v>
      </c>
      <c r="I29" s="651">
        <f t="shared" si="9"/>
        <v>0</v>
      </c>
      <c r="J29" s="652">
        <f t="shared" si="10"/>
        <v>51.82</v>
      </c>
      <c r="K29" s="643">
        <f t="shared" si="11"/>
        <v>616</v>
      </c>
      <c r="L29" s="372"/>
      <c r="M29" s="373">
        <v>5182</v>
      </c>
      <c r="N29" s="373">
        <v>0</v>
      </c>
      <c r="O29" s="373">
        <v>0</v>
      </c>
      <c r="P29" s="374">
        <f t="shared" si="12"/>
        <v>5182</v>
      </c>
      <c r="T29" s="287"/>
      <c r="U29" s="287"/>
    </row>
    <row r="30" spans="1:28" s="280" customFormat="1" ht="13.2" customHeight="1" x14ac:dyDescent="0.25">
      <c r="A30" s="403"/>
      <c r="B30" s="200">
        <v>16</v>
      </c>
      <c r="C30" s="197">
        <v>44</v>
      </c>
      <c r="D30" s="365" t="str">
        <f>VLOOKUP(C30,Уч!$A$2:$L$34,2,FALSE)</f>
        <v>Хамедов Игорь</v>
      </c>
      <c r="E30" s="366" t="str">
        <f>VLOOKUP(C30,Уч!$A$2:$L$34,3,FALSE)</f>
        <v>30.05.1998</v>
      </c>
      <c r="F30" s="378" t="str">
        <f>VLOOKUP(C30,Уч!$A$2:$L$34,5,FALSE)</f>
        <v xml:space="preserve">Кемеровская область  </v>
      </c>
      <c r="G30" s="651">
        <f t="shared" si="7"/>
        <v>47.52</v>
      </c>
      <c r="H30" s="651">
        <f t="shared" si="8"/>
        <v>0</v>
      </c>
      <c r="I30" s="651">
        <f t="shared" si="9"/>
        <v>0</v>
      </c>
      <c r="J30" s="652">
        <f t="shared" si="10"/>
        <v>47.52</v>
      </c>
      <c r="K30" s="643">
        <f t="shared" si="11"/>
        <v>552</v>
      </c>
      <c r="L30" s="372"/>
      <c r="M30" s="373">
        <v>4752</v>
      </c>
      <c r="N30" s="373">
        <v>0</v>
      </c>
      <c r="O30" s="373">
        <v>0</v>
      </c>
      <c r="P30" s="374">
        <f t="shared" si="12"/>
        <v>4752</v>
      </c>
      <c r="T30" s="287"/>
      <c r="U30" s="287"/>
    </row>
    <row r="31" spans="1:28" s="280" customFormat="1" ht="13.2" customHeight="1" x14ac:dyDescent="0.35">
      <c r="A31" s="403"/>
      <c r="B31" s="200">
        <v>17</v>
      </c>
      <c r="C31" s="162">
        <v>63</v>
      </c>
      <c r="D31" s="365" t="e">
        <f>VLOOKUP(C31,Уч!$A$2:$L$34,2,FALSE)</f>
        <v>#N/A</v>
      </c>
      <c r="E31" s="366" t="e">
        <f>VLOOKUP(C31,Уч!$A$2:$L$34,3,FALSE)</f>
        <v>#N/A</v>
      </c>
      <c r="F31" s="378" t="e">
        <f>VLOOKUP(C31,Уч!$A$2:$L$34,5,FALSE)</f>
        <v>#N/A</v>
      </c>
      <c r="G31" s="651">
        <f t="shared" si="7"/>
        <v>0</v>
      </c>
      <c r="H31" s="651">
        <f t="shared" si="8"/>
        <v>0</v>
      </c>
      <c r="I31" s="651">
        <f t="shared" si="9"/>
        <v>0</v>
      </c>
      <c r="J31" s="652">
        <f t="shared" si="10"/>
        <v>0</v>
      </c>
      <c r="K31" s="643">
        <f t="shared" si="11"/>
        <v>0</v>
      </c>
      <c r="L31" s="372"/>
      <c r="M31" s="373"/>
      <c r="N31" s="373">
        <v>0</v>
      </c>
      <c r="O31" s="373">
        <v>0</v>
      </c>
      <c r="P31" s="374">
        <f t="shared" si="12"/>
        <v>0</v>
      </c>
      <c r="T31" s="287"/>
      <c r="U31" s="287"/>
    </row>
    <row r="32" spans="1:28" s="280" customFormat="1" ht="13.2" customHeight="1" x14ac:dyDescent="0.35">
      <c r="A32" s="403"/>
      <c r="B32" s="200">
        <v>19</v>
      </c>
      <c r="C32" s="162">
        <v>50</v>
      </c>
      <c r="D32" s="365" t="e">
        <f>VLOOKUP(C32,Уч!$A$2:$L$34,2,FALSE)</f>
        <v>#N/A</v>
      </c>
      <c r="E32" s="366" t="e">
        <f>VLOOKUP(C32,Уч!$A$2:$L$34,3,FALSE)</f>
        <v>#N/A</v>
      </c>
      <c r="F32" s="378" t="e">
        <f>VLOOKUP(C32,Уч!$A$2:$L$34,5,FALSE)</f>
        <v>#N/A</v>
      </c>
      <c r="G32" s="651">
        <f t="shared" si="7"/>
        <v>45.25</v>
      </c>
      <c r="H32" s="651">
        <f t="shared" si="8"/>
        <v>0</v>
      </c>
      <c r="I32" s="651">
        <f t="shared" si="9"/>
        <v>0</v>
      </c>
      <c r="J32" s="652">
        <f t="shared" si="10"/>
        <v>45.25</v>
      </c>
      <c r="K32" s="643">
        <f t="shared" si="11"/>
        <v>519</v>
      </c>
      <c r="L32" s="372"/>
      <c r="M32" s="373">
        <v>4525</v>
      </c>
      <c r="N32" s="373">
        <v>0</v>
      </c>
      <c r="O32" s="373">
        <v>0</v>
      </c>
      <c r="P32" s="374">
        <f t="shared" si="12"/>
        <v>4525</v>
      </c>
      <c r="T32" s="287"/>
      <c r="U32" s="287"/>
    </row>
    <row r="33" spans="1:28" s="280" customFormat="1" ht="13.2" customHeight="1" x14ac:dyDescent="0.35">
      <c r="A33" s="403"/>
      <c r="B33" s="200">
        <v>20</v>
      </c>
      <c r="C33" s="162">
        <v>78</v>
      </c>
      <c r="D33" s="365" t="str">
        <f>VLOOKUP(C33,Уч!$A$2:$L$34,2,FALSE)</f>
        <v>Слаква Максим</v>
      </c>
      <c r="E33" s="366" t="str">
        <f>VLOOKUP(C33,Уч!$A$2:$L$34,3,FALSE)</f>
        <v>10.05.1998</v>
      </c>
      <c r="F33" s="378" t="str">
        <f>VLOOKUP(C33,Уч!$A$2:$L$34,5,FALSE)</f>
        <v xml:space="preserve">Ставропольский край  </v>
      </c>
      <c r="G33" s="651">
        <f t="shared" si="7"/>
        <v>30.29</v>
      </c>
      <c r="H33" s="651">
        <f t="shared" si="8"/>
        <v>0</v>
      </c>
      <c r="I33" s="651">
        <f t="shared" si="9"/>
        <v>0</v>
      </c>
      <c r="J33" s="652">
        <f t="shared" si="10"/>
        <v>30.29</v>
      </c>
      <c r="K33" s="643">
        <f t="shared" si="11"/>
        <v>303</v>
      </c>
      <c r="L33" s="372"/>
      <c r="M33" s="373">
        <v>3029</v>
      </c>
      <c r="N33" s="373">
        <v>0</v>
      </c>
      <c r="O33" s="373">
        <v>0</v>
      </c>
      <c r="P33" s="374">
        <f t="shared" si="12"/>
        <v>3029</v>
      </c>
      <c r="T33" s="287"/>
      <c r="U33" s="287"/>
    </row>
    <row r="34" spans="1:28" s="280" customFormat="1" ht="13.2" customHeight="1" x14ac:dyDescent="0.35">
      <c r="A34" s="403"/>
      <c r="B34" s="200">
        <v>21</v>
      </c>
      <c r="C34" s="304">
        <v>80</v>
      </c>
      <c r="D34" s="365" t="e">
        <f>VLOOKUP(C34,Уч!$A$2:$L$34,2,FALSE)</f>
        <v>#N/A</v>
      </c>
      <c r="E34" s="366" t="e">
        <f>VLOOKUP(C34,Уч!$A$2:$L$34,3,FALSE)</f>
        <v>#N/A</v>
      </c>
      <c r="F34" s="378" t="e">
        <f>VLOOKUP(C34,Уч!$A$2:$L$34,5,FALSE)</f>
        <v>#N/A</v>
      </c>
      <c r="G34" s="651">
        <f t="shared" si="7"/>
        <v>37.9</v>
      </c>
      <c r="H34" s="651">
        <f t="shared" si="8"/>
        <v>0</v>
      </c>
      <c r="I34" s="651">
        <f t="shared" si="9"/>
        <v>0</v>
      </c>
      <c r="J34" s="652">
        <f t="shared" si="10"/>
        <v>37.9</v>
      </c>
      <c r="K34" s="643">
        <f t="shared" si="11"/>
        <v>412</v>
      </c>
      <c r="L34" s="372"/>
      <c r="M34" s="373">
        <v>3790</v>
      </c>
      <c r="N34" s="373">
        <v>0</v>
      </c>
      <c r="O34" s="373">
        <v>0</v>
      </c>
      <c r="P34" s="374">
        <f t="shared" si="12"/>
        <v>3790</v>
      </c>
      <c r="T34" s="287"/>
      <c r="U34" s="287"/>
    </row>
    <row r="35" spans="1:28" s="280" customFormat="1" ht="13.2" customHeight="1" x14ac:dyDescent="0.35">
      <c r="A35" s="403"/>
      <c r="B35" s="200">
        <v>22</v>
      </c>
      <c r="C35" s="162">
        <v>70</v>
      </c>
      <c r="D35" s="365" t="e">
        <f>VLOOKUP(C35,Уч!$A$2:$L$34,2,FALSE)</f>
        <v>#N/A</v>
      </c>
      <c r="E35" s="366" t="e">
        <f>VLOOKUP(C35,Уч!$A$2:$L$34,3,FALSE)</f>
        <v>#N/A</v>
      </c>
      <c r="F35" s="378" t="e">
        <f>VLOOKUP(C35,Уч!$A$2:$L$34,5,FALSE)</f>
        <v>#N/A</v>
      </c>
      <c r="G35" s="651">
        <f t="shared" si="7"/>
        <v>36.11</v>
      </c>
      <c r="H35" s="651">
        <f t="shared" si="8"/>
        <v>0</v>
      </c>
      <c r="I35" s="651">
        <f t="shared" si="9"/>
        <v>0</v>
      </c>
      <c r="J35" s="652">
        <f t="shared" si="10"/>
        <v>36.11</v>
      </c>
      <c r="K35" s="643">
        <f t="shared" si="11"/>
        <v>386</v>
      </c>
      <c r="L35" s="372"/>
      <c r="M35" s="373">
        <v>3611</v>
      </c>
      <c r="N35" s="373">
        <v>0</v>
      </c>
      <c r="O35" s="373">
        <v>0</v>
      </c>
      <c r="P35" s="374">
        <f t="shared" si="12"/>
        <v>3611</v>
      </c>
      <c r="T35" s="287"/>
      <c r="U35" s="287"/>
    </row>
    <row r="36" spans="1:28" s="280" customFormat="1" ht="13.2" customHeight="1" x14ac:dyDescent="0.35">
      <c r="A36" s="403"/>
      <c r="B36" s="200">
        <v>23</v>
      </c>
      <c r="C36" s="162">
        <v>81</v>
      </c>
      <c r="D36" s="365" t="str">
        <f>VLOOKUP(C36,Уч!$A$2:$L$34,2,FALSE)</f>
        <v>Исаев Максим</v>
      </c>
      <c r="E36" s="366" t="str">
        <f>VLOOKUP(C36,Уч!$A$2:$L$34,3,FALSE)</f>
        <v>10.07.1997</v>
      </c>
      <c r="F36" s="378" t="str">
        <f>VLOOKUP(C36,Уч!$A$2:$L$34,5,FALSE)</f>
        <v xml:space="preserve">Челябинская область  </v>
      </c>
      <c r="G36" s="651">
        <f t="shared" si="7"/>
        <v>47.22</v>
      </c>
      <c r="H36" s="651">
        <f t="shared" si="8"/>
        <v>0</v>
      </c>
      <c r="I36" s="651">
        <f t="shared" si="9"/>
        <v>0</v>
      </c>
      <c r="J36" s="652">
        <f t="shared" si="10"/>
        <v>47.22</v>
      </c>
      <c r="K36" s="643">
        <f t="shared" si="11"/>
        <v>548</v>
      </c>
      <c r="L36" s="372"/>
      <c r="M36" s="373">
        <v>4722</v>
      </c>
      <c r="N36" s="373">
        <v>0</v>
      </c>
      <c r="O36" s="373">
        <v>0</v>
      </c>
      <c r="P36" s="374">
        <f t="shared" si="12"/>
        <v>4722</v>
      </c>
      <c r="T36" s="287"/>
      <c r="U36" s="287"/>
    </row>
    <row r="37" spans="1:28" s="280" customFormat="1" ht="13.2" customHeight="1" x14ac:dyDescent="0.35">
      <c r="A37" s="403"/>
      <c r="B37" s="200">
        <v>24</v>
      </c>
      <c r="C37" s="162">
        <v>69</v>
      </c>
      <c r="D37" s="365" t="e">
        <f>VLOOKUP(C37,Уч!$A$2:$L$34,2,FALSE)</f>
        <v>#N/A</v>
      </c>
      <c r="E37" s="366" t="e">
        <f>VLOOKUP(C37,Уч!$A$2:$L$34,3,FALSE)</f>
        <v>#N/A</v>
      </c>
      <c r="F37" s="378" t="e">
        <f>VLOOKUP(C37,Уч!$A$2:$L$34,5,FALSE)</f>
        <v>#N/A</v>
      </c>
      <c r="G37" s="651">
        <f t="shared" si="7"/>
        <v>42.56</v>
      </c>
      <c r="H37" s="651">
        <f t="shared" si="8"/>
        <v>0</v>
      </c>
      <c r="I37" s="651">
        <f t="shared" si="9"/>
        <v>0</v>
      </c>
      <c r="J37" s="652">
        <f t="shared" si="10"/>
        <v>42.56</v>
      </c>
      <c r="K37" s="643">
        <f t="shared" si="11"/>
        <v>479</v>
      </c>
      <c r="L37" s="372"/>
      <c r="M37" s="373">
        <v>4256</v>
      </c>
      <c r="N37" s="373">
        <v>0</v>
      </c>
      <c r="O37" s="373">
        <v>0</v>
      </c>
      <c r="P37" s="374">
        <f t="shared" si="12"/>
        <v>4256</v>
      </c>
      <c r="T37" s="287"/>
      <c r="U37" s="287"/>
    </row>
    <row r="38" spans="1:28" s="280" customFormat="1" ht="13.2" customHeight="1" x14ac:dyDescent="0.35">
      <c r="A38" s="403"/>
      <c r="B38" s="200">
        <v>25</v>
      </c>
      <c r="C38" s="162">
        <v>41</v>
      </c>
      <c r="D38" s="365" t="str">
        <f>VLOOKUP(C38,Уч!$A$2:$L$34,2,FALSE)</f>
        <v>Фомичев Андрей</v>
      </c>
      <c r="E38" s="366" t="str">
        <f>VLOOKUP(C38,Уч!$A$2:$L$34,3,FALSE)</f>
        <v>15.12.1996</v>
      </c>
      <c r="F38" s="378" t="str">
        <f>VLOOKUP(C38,Уч!$A$2:$L$34,5,FALSE)</f>
        <v xml:space="preserve">Кемеровская область  </v>
      </c>
      <c r="G38" s="651">
        <f t="shared" si="7"/>
        <v>46.12</v>
      </c>
      <c r="H38" s="651">
        <f t="shared" si="8"/>
        <v>0</v>
      </c>
      <c r="I38" s="651">
        <f t="shared" si="9"/>
        <v>0</v>
      </c>
      <c r="J38" s="652">
        <f t="shared" si="10"/>
        <v>46.12</v>
      </c>
      <c r="K38" s="643">
        <f t="shared" si="11"/>
        <v>531</v>
      </c>
      <c r="L38" s="372"/>
      <c r="M38" s="373">
        <v>4612</v>
      </c>
      <c r="N38" s="373">
        <v>0</v>
      </c>
      <c r="O38" s="373">
        <v>0</v>
      </c>
      <c r="P38" s="374">
        <f t="shared" si="12"/>
        <v>4612</v>
      </c>
      <c r="T38" s="287"/>
      <c r="U38" s="287"/>
    </row>
    <row r="39" spans="1:28" s="280" customFormat="1" ht="7.2" customHeight="1" x14ac:dyDescent="0.35">
      <c r="A39" s="403">
        <f t="shared" ref="A39:A45" ca="1" si="13">RAND()</f>
        <v>0.97522862163114055</v>
      </c>
      <c r="B39" s="522"/>
      <c r="C39" s="619"/>
      <c r="D39" s="620"/>
      <c r="E39" s="621"/>
      <c r="F39" s="622"/>
      <c r="G39" s="649"/>
      <c r="H39" s="649"/>
      <c r="I39" s="649"/>
      <c r="J39" s="632"/>
      <c r="K39" s="650"/>
      <c r="L39" s="372"/>
      <c r="M39" s="373"/>
      <c r="N39" s="373">
        <v>0</v>
      </c>
      <c r="O39" s="373">
        <v>0</v>
      </c>
      <c r="P39" s="374">
        <f t="shared" ref="P39:P45" si="14">MAX(M39,N39,O39)</f>
        <v>0</v>
      </c>
    </row>
    <row r="40" spans="1:28" s="280" customFormat="1" ht="16.05" customHeight="1" x14ac:dyDescent="0.35">
      <c r="A40" s="403">
        <f t="shared" ca="1" si="13"/>
        <v>0.70450515855029183</v>
      </c>
      <c r="B40" s="557" t="s">
        <v>325</v>
      </c>
      <c r="C40" s="619"/>
      <c r="D40" s="620"/>
      <c r="E40" s="621"/>
      <c r="F40" s="622"/>
      <c r="G40" s="649"/>
      <c r="H40" s="649"/>
      <c r="I40" s="649"/>
      <c r="J40" s="632"/>
      <c r="K40" s="650"/>
      <c r="L40" s="372"/>
      <c r="M40" s="373"/>
      <c r="N40" s="373">
        <v>0</v>
      </c>
      <c r="O40" s="373">
        <v>0</v>
      </c>
      <c r="P40" s="374">
        <f t="shared" si="14"/>
        <v>0</v>
      </c>
    </row>
    <row r="41" spans="1:28" s="287" customFormat="1" ht="16.05" customHeight="1" x14ac:dyDescent="0.35">
      <c r="A41" s="403">
        <f t="shared" ca="1" si="13"/>
        <v>0.43128708614520472</v>
      </c>
      <c r="B41" s="557" t="s">
        <v>332</v>
      </c>
      <c r="C41" s="522"/>
      <c r="D41" s="620"/>
      <c r="E41" s="621"/>
      <c r="F41" s="622"/>
      <c r="G41" s="649"/>
      <c r="H41" s="649"/>
      <c r="I41" s="649"/>
      <c r="J41" s="632"/>
      <c r="K41" s="650"/>
      <c r="L41" s="372"/>
      <c r="M41" s="373">
        <v>6667</v>
      </c>
      <c r="N41" s="373">
        <v>0</v>
      </c>
      <c r="O41" s="373">
        <v>0</v>
      </c>
      <c r="P41" s="374">
        <f t="shared" si="14"/>
        <v>6667</v>
      </c>
      <c r="Q41" s="231"/>
      <c r="R41" s="231"/>
      <c r="S41" s="231"/>
      <c r="T41" s="280"/>
      <c r="U41" s="280"/>
      <c r="V41" s="280"/>
      <c r="W41" s="280"/>
      <c r="X41" s="280"/>
      <c r="Y41" s="280"/>
      <c r="Z41" s="280"/>
      <c r="AA41" s="280"/>
      <c r="AB41" s="280"/>
    </row>
    <row r="42" spans="1:28" s="280" customFormat="1" ht="16.05" customHeight="1" x14ac:dyDescent="0.35">
      <c r="A42" s="403">
        <f t="shared" ca="1" si="13"/>
        <v>0.63956709471100615</v>
      </c>
      <c r="B42" s="557" t="s">
        <v>333</v>
      </c>
      <c r="C42" s="522"/>
      <c r="D42" s="620"/>
      <c r="E42" s="621"/>
      <c r="F42" s="622"/>
      <c r="G42" s="649"/>
      <c r="H42" s="649"/>
      <c r="I42" s="649"/>
      <c r="J42" s="632"/>
      <c r="K42" s="650"/>
      <c r="L42" s="372"/>
      <c r="M42" s="373">
        <v>4961</v>
      </c>
      <c r="N42" s="373">
        <v>0</v>
      </c>
      <c r="O42" s="373">
        <v>0</v>
      </c>
      <c r="P42" s="374">
        <f t="shared" si="14"/>
        <v>4961</v>
      </c>
    </row>
    <row r="43" spans="1:28" s="280" customFormat="1" ht="13.2" customHeight="1" x14ac:dyDescent="0.35">
      <c r="A43" s="200">
        <f t="shared" ca="1" si="13"/>
        <v>0.26780301596780298</v>
      </c>
      <c r="B43" s="625">
        <v>18</v>
      </c>
      <c r="C43" s="612">
        <v>63</v>
      </c>
      <c r="D43" s="613" t="e">
        <f>VLOOKUP(C43,Уч!$A$2:$L$34,2,FALSE)</f>
        <v>#N/A</v>
      </c>
      <c r="E43" s="614" t="e">
        <f>VLOOKUP(C43,Уч!$A$2:$L$34,3,FALSE)</f>
        <v>#N/A</v>
      </c>
      <c r="F43" s="626" t="e">
        <f>VLOOKUP(C43,Уч!$A$2:$L$34,5,FALSE)</f>
        <v>#N/A</v>
      </c>
      <c r="G43" s="644">
        <f t="shared" ref="G43:G45" si="15">M43/100</f>
        <v>0</v>
      </c>
      <c r="H43" s="645">
        <f t="shared" ref="H43:H45" si="16">N43/100</f>
        <v>0</v>
      </c>
      <c r="I43" s="646">
        <f t="shared" ref="I43:I45" si="17">O43/100</f>
        <v>0</v>
      </c>
      <c r="J43" s="647">
        <f t="shared" ref="J43:J45" si="18">P43/100</f>
        <v>0</v>
      </c>
      <c r="K43" s="648">
        <f t="shared" ref="K43:K45" si="19">IF(P43&lt;712,0,IF(P43=0,0,ROUNDDOWN(10.14*(P43/100-7)^1.08,0)))</f>
        <v>0</v>
      </c>
      <c r="L43" s="372"/>
      <c r="M43" s="373"/>
      <c r="N43" s="373">
        <v>0</v>
      </c>
      <c r="O43" s="373">
        <v>0</v>
      </c>
      <c r="P43" s="374">
        <f t="shared" si="14"/>
        <v>0</v>
      </c>
      <c r="Q43" s="280" t="s">
        <v>96</v>
      </c>
    </row>
    <row r="44" spans="1:28" s="280" customFormat="1" ht="13.2" customHeight="1" x14ac:dyDescent="0.35">
      <c r="A44" s="200">
        <f t="shared" ca="1" si="13"/>
        <v>0.11480026588261572</v>
      </c>
      <c r="B44" s="200">
        <v>19</v>
      </c>
      <c r="C44" s="200">
        <v>10</v>
      </c>
      <c r="D44" s="365" t="e">
        <f>VLOOKUP(C44,Уч!$A$2:$L$34,2,FALSE)</f>
        <v>#N/A</v>
      </c>
      <c r="E44" s="366" t="e">
        <f>VLOOKUP(C44,Уч!$A$2:$L$34,3,FALSE)</f>
        <v>#N/A</v>
      </c>
      <c r="F44" s="367" t="e">
        <f>VLOOKUP(C44,Уч!$A$2:$L$34,5,FALSE)</f>
        <v>#N/A</v>
      </c>
      <c r="G44" s="391">
        <f t="shared" si="15"/>
        <v>53.38</v>
      </c>
      <c r="H44" s="392">
        <f t="shared" si="16"/>
        <v>0</v>
      </c>
      <c r="I44" s="393">
        <f t="shared" si="17"/>
        <v>0</v>
      </c>
      <c r="J44" s="394">
        <f t="shared" si="18"/>
        <v>53.38</v>
      </c>
      <c r="K44" s="295">
        <f t="shared" si="19"/>
        <v>639</v>
      </c>
      <c r="L44" s="372"/>
      <c r="M44" s="373">
        <v>5338</v>
      </c>
      <c r="N44" s="373">
        <v>0</v>
      </c>
      <c r="O44" s="373">
        <v>0</v>
      </c>
      <c r="P44" s="374">
        <f t="shared" si="14"/>
        <v>5338</v>
      </c>
    </row>
    <row r="45" spans="1:28" s="280" customFormat="1" ht="13.2" customHeight="1" x14ac:dyDescent="0.35">
      <c r="A45" s="200">
        <f t="shared" ca="1" si="13"/>
        <v>0.72436708692373697</v>
      </c>
      <c r="B45" s="200">
        <v>20</v>
      </c>
      <c r="C45" s="200">
        <v>33</v>
      </c>
      <c r="D45" s="365" t="e">
        <f>VLOOKUP(C45,Уч!$A$2:$L$34,2,FALSE)</f>
        <v>#N/A</v>
      </c>
      <c r="E45" s="366" t="e">
        <f>VLOOKUP(C45,Уч!$A$2:$L$34,3,FALSE)</f>
        <v>#N/A</v>
      </c>
      <c r="F45" s="367" t="e">
        <f>VLOOKUP(C45,Уч!$A$2:$L$34,5,FALSE)</f>
        <v>#N/A</v>
      </c>
      <c r="G45" s="391">
        <f t="shared" si="15"/>
        <v>52.92</v>
      </c>
      <c r="H45" s="392">
        <f t="shared" si="16"/>
        <v>0</v>
      </c>
      <c r="I45" s="393">
        <f t="shared" si="17"/>
        <v>0</v>
      </c>
      <c r="J45" s="394">
        <f t="shared" si="18"/>
        <v>52.92</v>
      </c>
      <c r="K45" s="295">
        <f t="shared" si="19"/>
        <v>632</v>
      </c>
      <c r="L45" s="372"/>
      <c r="M45" s="373">
        <v>5292</v>
      </c>
      <c r="N45" s="373">
        <v>0</v>
      </c>
      <c r="O45" s="373">
        <v>0</v>
      </c>
      <c r="P45" s="374">
        <f t="shared" si="14"/>
        <v>5292</v>
      </c>
    </row>
    <row r="46" spans="1:28" x14ac:dyDescent="0.25">
      <c r="A46" s="220">
        <f ca="1">RAND()</f>
        <v>0.19875213417182991</v>
      </c>
      <c r="B46" s="220">
        <v>22</v>
      </c>
      <c r="C46" s="220">
        <v>21</v>
      </c>
      <c r="D46" s="268" t="str">
        <f>VLOOKUP(C46,Уч!$A$2:$L$34,2,FALSE)</f>
        <v>Гасленко Кирилл</v>
      </c>
      <c r="E46" s="395">
        <f>VLOOKUP(C46,Уч!$A$2:$L$34,3,FALSE)</f>
        <v>36317</v>
      </c>
      <c r="F46" s="269" t="str">
        <f>VLOOKUP(C46,Уч!$A$2:$L$34,5,FALSE)</f>
        <v xml:space="preserve">Краснодарский край  </v>
      </c>
      <c r="G46" s="396">
        <f t="shared" ref="G46:J52" si="20">M46/100</f>
        <v>0</v>
      </c>
      <c r="H46" s="245">
        <f t="shared" si="20"/>
        <v>0</v>
      </c>
      <c r="I46" s="397">
        <f t="shared" si="20"/>
        <v>0</v>
      </c>
      <c r="J46" s="358">
        <f t="shared" si="20"/>
        <v>0</v>
      </c>
      <c r="K46" s="247">
        <f t="shared" ref="K46:K52" si="21">IF(P46&lt;712,0,IF(P46=0,0,ROUNDDOWN(10.14*(P46/100-7)^1.08,0)))</f>
        <v>0</v>
      </c>
      <c r="L46" s="157"/>
      <c r="M46" s="209"/>
      <c r="N46" s="209">
        <v>0</v>
      </c>
      <c r="O46" s="209">
        <v>0</v>
      </c>
      <c r="P46" s="229">
        <f t="shared" ref="P46:P52" si="22">MAX(M46,N46,O46)</f>
        <v>0</v>
      </c>
    </row>
    <row r="47" spans="1:28" x14ac:dyDescent="0.25">
      <c r="A47" s="220">
        <f ca="1">RAND()</f>
        <v>9.7208031900361869E-2</v>
      </c>
      <c r="B47" s="220">
        <v>23</v>
      </c>
      <c r="C47" s="220">
        <v>28</v>
      </c>
      <c r="D47" s="268" t="e">
        <f>VLOOKUP(C47,Уч!$A$2:$L$34,2,FALSE)</f>
        <v>#N/A</v>
      </c>
      <c r="E47" s="395" t="e">
        <f>VLOOKUP(C47,Уч!$A$2:$L$34,3,FALSE)</f>
        <v>#N/A</v>
      </c>
      <c r="F47" s="269" t="e">
        <f>VLOOKUP(C47,Уч!$A$2:$L$34,5,FALSE)</f>
        <v>#N/A</v>
      </c>
      <c r="G47" s="396">
        <f t="shared" si="20"/>
        <v>0</v>
      </c>
      <c r="H47" s="245">
        <f t="shared" si="20"/>
        <v>0</v>
      </c>
      <c r="I47" s="397">
        <f t="shared" si="20"/>
        <v>0</v>
      </c>
      <c r="J47" s="358">
        <f t="shared" si="20"/>
        <v>0</v>
      </c>
      <c r="K47" s="247">
        <f t="shared" si="21"/>
        <v>0</v>
      </c>
      <c r="L47" s="157"/>
      <c r="M47" s="209"/>
      <c r="N47" s="209">
        <v>0</v>
      </c>
      <c r="O47" s="209">
        <v>0</v>
      </c>
      <c r="P47" s="229">
        <f t="shared" si="22"/>
        <v>0</v>
      </c>
    </row>
    <row r="48" spans="1:28" x14ac:dyDescent="0.25">
      <c r="A48" s="220">
        <f ca="1">RAND()</f>
        <v>0.75651119605430406</v>
      </c>
      <c r="B48" s="220">
        <v>24</v>
      </c>
      <c r="C48" s="230">
        <v>38</v>
      </c>
      <c r="D48" s="268" t="e">
        <f>VLOOKUP(C48,Уч!$A$2:$L$34,2,FALSE)</f>
        <v>#N/A</v>
      </c>
      <c r="E48" s="395" t="e">
        <f>VLOOKUP(C48,Уч!$A$2:$L$34,3,FALSE)</f>
        <v>#N/A</v>
      </c>
      <c r="F48" s="269" t="e">
        <f>VLOOKUP(C48,Уч!$A$2:$L$34,5,FALSE)</f>
        <v>#N/A</v>
      </c>
      <c r="G48" s="396">
        <f t="shared" si="20"/>
        <v>0</v>
      </c>
      <c r="H48" s="245">
        <f t="shared" si="20"/>
        <v>0</v>
      </c>
      <c r="I48" s="397">
        <f t="shared" si="20"/>
        <v>0</v>
      </c>
      <c r="J48" s="358">
        <f t="shared" si="20"/>
        <v>0</v>
      </c>
      <c r="K48" s="247">
        <f t="shared" si="21"/>
        <v>0</v>
      </c>
      <c r="L48" s="157"/>
      <c r="M48" s="209"/>
      <c r="N48" s="209">
        <v>0</v>
      </c>
      <c r="O48" s="209">
        <v>0</v>
      </c>
      <c r="P48" s="229">
        <f t="shared" si="22"/>
        <v>0</v>
      </c>
    </row>
    <row r="49" spans="1:16" x14ac:dyDescent="0.25">
      <c r="A49" s="220">
        <f ca="1">RAND()</f>
        <v>0.72321171062969059</v>
      </c>
      <c r="B49" s="220">
        <v>25</v>
      </c>
      <c r="C49" s="230">
        <v>39</v>
      </c>
      <c r="D49" s="268" t="str">
        <f>VLOOKUP(C49,Уч!$A$2:$L$34,2,FALSE)</f>
        <v>Левковский Андрей</v>
      </c>
      <c r="E49" s="395" t="str">
        <f>VLOOKUP(C49,Уч!$A$2:$L$34,3,FALSE)</f>
        <v>17.08.1997</v>
      </c>
      <c r="F49" s="269" t="str">
        <f>VLOOKUP(C49,Уч!$A$2:$L$34,5,FALSE)</f>
        <v xml:space="preserve">Кемеровская область  </v>
      </c>
      <c r="G49" s="396">
        <f t="shared" si="20"/>
        <v>0</v>
      </c>
      <c r="H49" s="245">
        <f t="shared" si="20"/>
        <v>0</v>
      </c>
      <c r="I49" s="397">
        <f t="shared" si="20"/>
        <v>0</v>
      </c>
      <c r="J49" s="358">
        <f t="shared" si="20"/>
        <v>0</v>
      </c>
      <c r="K49" s="247">
        <f t="shared" si="21"/>
        <v>0</v>
      </c>
      <c r="L49" s="157"/>
      <c r="M49" s="209"/>
      <c r="N49" s="209">
        <v>0</v>
      </c>
      <c r="O49" s="209">
        <v>0</v>
      </c>
      <c r="P49" s="229">
        <f t="shared" si="22"/>
        <v>0</v>
      </c>
    </row>
    <row r="50" spans="1:16" x14ac:dyDescent="0.25">
      <c r="B50" s="220">
        <v>27</v>
      </c>
      <c r="C50" s="230">
        <v>40</v>
      </c>
      <c r="D50" s="221" t="str">
        <f>VLOOKUP(C50,Уч!$A$2:$L$34,2,FALSE)</f>
        <v>Черкасов Алексей</v>
      </c>
      <c r="E50" s="222" t="str">
        <f>VLOOKUP(C50,Уч!$A$2:$L$34,3,FALSE)</f>
        <v>22.10.1994</v>
      </c>
      <c r="F50" s="398" t="str">
        <f>VLOOKUP(C50,Уч!$A$2:$L$34,5,FALSE)</f>
        <v xml:space="preserve">Кемеровская область Санкт-Петербург </v>
      </c>
      <c r="G50" s="396">
        <f t="shared" si="20"/>
        <v>0</v>
      </c>
      <c r="H50" s="245">
        <f t="shared" si="20"/>
        <v>0</v>
      </c>
      <c r="I50" s="397">
        <f t="shared" si="20"/>
        <v>0</v>
      </c>
      <c r="J50" s="358">
        <f t="shared" si="20"/>
        <v>0</v>
      </c>
      <c r="K50" s="247">
        <f t="shared" si="21"/>
        <v>0</v>
      </c>
      <c r="L50" s="157"/>
      <c r="M50" s="209"/>
      <c r="N50" s="209">
        <v>0</v>
      </c>
      <c r="O50" s="209">
        <v>0</v>
      </c>
      <c r="P50" s="229">
        <f t="shared" si="22"/>
        <v>0</v>
      </c>
    </row>
    <row r="51" spans="1:16" x14ac:dyDescent="0.25">
      <c r="B51" s="220">
        <v>28</v>
      </c>
      <c r="C51" s="220">
        <v>41</v>
      </c>
      <c r="D51" s="221" t="str">
        <f>VLOOKUP(C51,Уч!$A$2:$L$34,2,FALSE)</f>
        <v>Фомичев Андрей</v>
      </c>
      <c r="E51" s="222" t="str">
        <f>VLOOKUP(C51,Уч!$A$2:$L$34,3,FALSE)</f>
        <v>15.12.1996</v>
      </c>
      <c r="F51" s="398" t="str">
        <f>VLOOKUP(C51,Уч!$A$2:$L$34,5,FALSE)</f>
        <v xml:space="preserve">Кемеровская область  </v>
      </c>
      <c r="G51" s="396">
        <f t="shared" si="20"/>
        <v>0</v>
      </c>
      <c r="H51" s="245">
        <f t="shared" si="20"/>
        <v>0</v>
      </c>
      <c r="I51" s="397">
        <f t="shared" si="20"/>
        <v>0</v>
      </c>
      <c r="J51" s="358">
        <f t="shared" si="20"/>
        <v>0</v>
      </c>
      <c r="K51" s="247">
        <f t="shared" si="21"/>
        <v>0</v>
      </c>
      <c r="L51" s="157"/>
      <c r="M51" s="209"/>
      <c r="N51" s="209">
        <v>0</v>
      </c>
      <c r="O51" s="209">
        <v>0</v>
      </c>
      <c r="P51" s="229">
        <f t="shared" si="22"/>
        <v>0</v>
      </c>
    </row>
    <row r="52" spans="1:16" x14ac:dyDescent="0.25">
      <c r="B52" s="220">
        <v>29</v>
      </c>
      <c r="C52" s="230">
        <v>66</v>
      </c>
      <c r="D52" s="221" t="e">
        <f>VLOOKUP(C52,Уч!$A$2:$L$34,2,FALSE)</f>
        <v>#N/A</v>
      </c>
      <c r="E52" s="222" t="e">
        <f>VLOOKUP(C52,Уч!$A$2:$L$34,3,FALSE)</f>
        <v>#N/A</v>
      </c>
      <c r="F52" s="398" t="e">
        <f>VLOOKUP(C52,Уч!$A$2:$L$34,5,FALSE)</f>
        <v>#N/A</v>
      </c>
      <c r="G52" s="396">
        <f t="shared" si="20"/>
        <v>0</v>
      </c>
      <c r="H52" s="245">
        <f t="shared" si="20"/>
        <v>0</v>
      </c>
      <c r="I52" s="397">
        <f t="shared" si="20"/>
        <v>0</v>
      </c>
      <c r="J52" s="358">
        <f t="shared" si="20"/>
        <v>0</v>
      </c>
      <c r="K52" s="247">
        <f t="shared" si="21"/>
        <v>0</v>
      </c>
      <c r="L52" s="157"/>
      <c r="M52" s="209"/>
      <c r="N52" s="209">
        <v>0</v>
      </c>
      <c r="O52" s="209">
        <v>0</v>
      </c>
      <c r="P52" s="229">
        <f t="shared" si="22"/>
        <v>0</v>
      </c>
    </row>
  </sheetData>
  <sortState ref="A16:AB28">
    <sortCondition ref="A16:A28"/>
  </sortState>
  <mergeCells count="7">
    <mergeCell ref="B7:J7"/>
    <mergeCell ref="B1:J1"/>
    <mergeCell ref="B2:J2"/>
    <mergeCell ref="B3:J3"/>
    <mergeCell ref="B4:J4"/>
    <mergeCell ref="B5:J5"/>
    <mergeCell ref="B6:J6"/>
  </mergeCells>
  <phoneticPr fontId="0" type="noConversion"/>
  <printOptions horizontalCentered="1"/>
  <pageMargins left="0.78740157480314965" right="0.78740157480314965" top="0.78740157480314965" bottom="0.78740157480314965" header="0.51181102362204722" footer="0.51181102362204722"/>
  <pageSetup paperSize="9" scale="93" orientation="landscape" vertic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05"/>
  <sheetViews>
    <sheetView view="pageBreakPreview" topLeftCell="A6" zoomScale="120" zoomScaleSheetLayoutView="120" workbookViewId="0">
      <selection activeCell="B56" sqref="B56:B58"/>
    </sheetView>
  </sheetViews>
  <sheetFormatPr defaultColWidth="9.109375" defaultRowHeight="13.2" outlineLevelRow="1" outlineLevelCol="1" x14ac:dyDescent="0.25"/>
  <cols>
    <col min="1" max="1" width="5.44140625" style="41" customWidth="1" outlineLevel="1"/>
    <col min="2" max="2" width="5.77734375" style="41" customWidth="1"/>
    <col min="3" max="3" width="4.6640625" style="148" customWidth="1"/>
    <col min="4" max="4" width="24.5546875" style="41" customWidth="1"/>
    <col min="5" max="5" width="11.6640625" style="41" customWidth="1"/>
    <col min="6" max="6" width="17.109375" style="41" customWidth="1"/>
    <col min="7" max="7" width="15.44140625" style="41" customWidth="1"/>
    <col min="8" max="8" width="6.21875" style="149" customWidth="1"/>
    <col min="9" max="9" width="9.88671875" style="41" bestFit="1" customWidth="1"/>
    <col min="10" max="10" width="9.33203125" style="148" bestFit="1" customWidth="1" outlineLevel="1"/>
    <col min="11" max="11" width="8.109375" style="41" bestFit="1" customWidth="1" outlineLevel="1"/>
    <col min="12" max="16384" width="9.109375" style="41"/>
  </cols>
  <sheetData>
    <row r="1" spans="1:11" ht="13.2" customHeight="1" x14ac:dyDescent="0.25">
      <c r="B1" s="805" t="str">
        <f>Расп!A21</f>
        <v>МИНИСТЕРСТВО СПОРТА РОССИЙСКОЙ ФЕДЕРАЦИИ</v>
      </c>
      <c r="C1" s="805"/>
      <c r="D1" s="805"/>
      <c r="E1" s="805"/>
      <c r="F1" s="805"/>
      <c r="G1" s="805"/>
      <c r="H1" s="805"/>
      <c r="J1" s="146"/>
      <c r="K1" s="320"/>
    </row>
    <row r="2" spans="1:11" ht="13.2" customHeight="1" x14ac:dyDescent="0.25">
      <c r="B2" s="805" t="str">
        <f>Расп!A22</f>
        <v>ВСЕРОССИЙСКАЯ ФЕДЕРАЦИЯ ЛЕГКОЙ АТЛЕТИКИ</v>
      </c>
      <c r="C2" s="805"/>
      <c r="D2" s="805"/>
      <c r="E2" s="805"/>
      <c r="F2" s="805"/>
      <c r="G2" s="805"/>
      <c r="H2" s="805"/>
      <c r="J2" s="146"/>
      <c r="K2" s="320"/>
    </row>
    <row r="3" spans="1:11" ht="13.2" customHeight="1" x14ac:dyDescent="0.25">
      <c r="B3" s="805" t="str">
        <f>Расп!A25</f>
        <v>Командный чемпионат России</v>
      </c>
      <c r="C3" s="805"/>
      <c r="D3" s="805"/>
      <c r="E3" s="805"/>
      <c r="F3" s="805"/>
      <c r="G3" s="805"/>
      <c r="H3" s="805"/>
      <c r="J3" s="146"/>
      <c r="K3" s="320"/>
    </row>
    <row r="4" spans="1:11" ht="13.2" customHeight="1" x14ac:dyDescent="0.25">
      <c r="B4" s="802" t="str">
        <f>Расп!A27</f>
        <v>по многоборью</v>
      </c>
      <c r="C4" s="802"/>
      <c r="D4" s="802"/>
      <c r="E4" s="802"/>
      <c r="F4" s="802"/>
      <c r="G4" s="802"/>
      <c r="H4" s="802"/>
      <c r="J4" s="146"/>
      <c r="K4" s="320"/>
    </row>
    <row r="5" spans="1:11" ht="13.2" customHeight="1" x14ac:dyDescent="0.25">
      <c r="B5" s="802" t="str">
        <f>Расп!A28</f>
        <v>Мужчины</v>
      </c>
      <c r="C5" s="802"/>
      <c r="D5" s="802"/>
      <c r="E5" s="802"/>
      <c r="F5" s="802"/>
      <c r="G5" s="802"/>
      <c r="H5" s="802"/>
      <c r="J5" s="146"/>
      <c r="K5" s="320"/>
    </row>
    <row r="6" spans="1:11" ht="13.2" customHeight="1" x14ac:dyDescent="0.25">
      <c r="B6" s="801" t="s">
        <v>12</v>
      </c>
      <c r="C6" s="801"/>
      <c r="D6" s="801"/>
      <c r="E6" s="801"/>
      <c r="F6" s="801"/>
      <c r="G6" s="801"/>
      <c r="H6" s="801"/>
      <c r="J6" s="146"/>
      <c r="K6" s="320"/>
    </row>
    <row r="7" spans="1:11" ht="13.2" customHeight="1" x14ac:dyDescent="0.25">
      <c r="B7" s="801" t="str">
        <f>Расп!A12</f>
        <v>бег 1500 м</v>
      </c>
      <c r="C7" s="801"/>
      <c r="D7" s="801"/>
      <c r="E7" s="801"/>
      <c r="F7" s="801"/>
      <c r="G7" s="801"/>
      <c r="H7" s="801"/>
      <c r="J7" s="146"/>
      <c r="K7" s="320"/>
    </row>
    <row r="8" spans="1:11" ht="13.2" hidden="1" customHeight="1" x14ac:dyDescent="0.3">
      <c r="C8" s="151"/>
      <c r="D8" s="148"/>
      <c r="E8" s="147"/>
      <c r="G8" s="150"/>
      <c r="H8" s="150"/>
      <c r="J8" s="146"/>
      <c r="K8" s="320"/>
    </row>
    <row r="9" spans="1:11" ht="13.2" hidden="1" customHeight="1" x14ac:dyDescent="0.25">
      <c r="D9" s="38"/>
      <c r="G9" s="150"/>
      <c r="H9" s="212"/>
      <c r="J9" s="152" t="s">
        <v>22</v>
      </c>
      <c r="K9" s="320"/>
    </row>
    <row r="10" spans="1:11" ht="13.2" hidden="1" customHeight="1" outlineLevel="1" x14ac:dyDescent="0.3">
      <c r="C10" s="153"/>
      <c r="D10" s="148"/>
      <c r="E10" s="148"/>
      <c r="F10" s="390"/>
      <c r="H10" s="41"/>
      <c r="J10" s="152" t="s">
        <v>23</v>
      </c>
      <c r="K10" s="320"/>
    </row>
    <row r="11" spans="1:11" ht="13.2" customHeight="1" collapsed="1" x14ac:dyDescent="0.3">
      <c r="B11" s="203" t="str">
        <f>Расп!A7</f>
        <v>19.05.2019 г.</v>
      </c>
      <c r="C11" s="153"/>
      <c r="D11" s="148"/>
      <c r="E11" s="148"/>
      <c r="G11" s="206" t="str">
        <f>Расп!B1</f>
        <v>Начало:</v>
      </c>
      <c r="H11" s="207">
        <f>Расп!B12</f>
        <v>0.76388888888888884</v>
      </c>
      <c r="J11" s="152" t="s">
        <v>24</v>
      </c>
      <c r="K11" s="320"/>
    </row>
    <row r="12" spans="1:11" ht="13.2" hidden="1" customHeight="1" outlineLevel="1" x14ac:dyDescent="0.3">
      <c r="C12" s="153" t="s">
        <v>11</v>
      </c>
      <c r="D12" s="148"/>
      <c r="E12" s="148"/>
      <c r="G12" s="416" t="str">
        <f>Расп!A12</f>
        <v>бег 1500 м</v>
      </c>
      <c r="H12" s="41"/>
      <c r="J12" s="146"/>
      <c r="K12" s="320"/>
    </row>
    <row r="13" spans="1:11" ht="13.2" customHeight="1" collapsed="1" x14ac:dyDescent="0.3">
      <c r="B13" s="41" t="str">
        <f>Расп!A26</f>
        <v>г.Сочи, Адлерский район, стадион "Юность"</v>
      </c>
      <c r="C13" s="153"/>
      <c r="D13" s="148"/>
      <c r="E13" s="148"/>
      <c r="G13" s="206" t="str">
        <f>Расп!C1</f>
        <v>Окончание:</v>
      </c>
      <c r="H13" s="390"/>
      <c r="J13" s="146"/>
      <c r="K13" s="320"/>
    </row>
    <row r="14" spans="1:11" s="156" customFormat="1" ht="13.2" customHeight="1" x14ac:dyDescent="0.25">
      <c r="A14" s="154" t="s">
        <v>37</v>
      </c>
      <c r="B14" s="249" t="s">
        <v>259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 t="s">
        <v>19</v>
      </c>
      <c r="H14" s="155" t="s">
        <v>29</v>
      </c>
      <c r="J14" s="152" t="s">
        <v>28</v>
      </c>
      <c r="K14" s="399" t="s">
        <v>30</v>
      </c>
    </row>
    <row r="15" spans="1:11" s="156" customFormat="1" ht="13.2" customHeight="1" x14ac:dyDescent="0.25">
      <c r="H15" s="157"/>
      <c r="J15" s="152"/>
      <c r="K15" s="399"/>
    </row>
    <row r="16" spans="1:11" s="156" customFormat="1" ht="13.2" customHeight="1" x14ac:dyDescent="0.25">
      <c r="D16" s="156" t="s">
        <v>21</v>
      </c>
      <c r="H16" s="157"/>
      <c r="J16" s="152"/>
      <c r="K16" s="399"/>
    </row>
    <row r="17" spans="1:19" s="280" customFormat="1" ht="13.2" customHeight="1" x14ac:dyDescent="0.35">
      <c r="A17" s="200"/>
      <c r="B17" s="200">
        <v>1</v>
      </c>
      <c r="C17" s="200">
        <v>39</v>
      </c>
      <c r="D17" s="292" t="str">
        <f>VLOOKUP(C17,Уч!$A$2:$L$34,2,FALSE)</f>
        <v>Левковский Андрей</v>
      </c>
      <c r="E17" s="293" t="str">
        <f>VLOOKUP(C17,Уч!$A$2:$L$34,3,FALSE)</f>
        <v>17.08.1997</v>
      </c>
      <c r="F17" s="378" t="str">
        <f>VLOOKUP(C17,Уч!$A$2:$L$34,5,FALSE)</f>
        <v xml:space="preserve">Кемеровская область  </v>
      </c>
      <c r="G17" s="400" t="str">
        <f t="shared" ref="G17:G28" si="0">IF(J17=0,0,CONCATENATE(MID(J17,1,1),":",MID(J17,2,2),".",MID(J17,4,2)))</f>
        <v>4:35.36</v>
      </c>
      <c r="H17" s="295">
        <f t="shared" ref="H17:H28" si="1">IF(J17&gt;75411,0,IF(K17=0,0,ROUNDDOWN(0.03768*(480-K17)^1.85,0)))</f>
        <v>710</v>
      </c>
      <c r="J17" s="401">
        <v>43536</v>
      </c>
      <c r="K17" s="402" t="str">
        <f t="shared" ref="K17:K35" si="2">IF(J17=0,0,CONCATENATE((MID(J17,1,1)*60)+MID(J17,2,2),",",MID(J17,4,2)))</f>
        <v>275,36</v>
      </c>
    </row>
    <row r="18" spans="1:19" s="280" customFormat="1" ht="13.2" customHeight="1" x14ac:dyDescent="0.35">
      <c r="A18" s="200"/>
      <c r="B18" s="200">
        <v>2</v>
      </c>
      <c r="C18" s="200">
        <v>45</v>
      </c>
      <c r="D18" s="292" t="str">
        <f>VLOOKUP(C18,Уч!$A$2:$L$34,2,FALSE)</f>
        <v>Бочаринский Данила</v>
      </c>
      <c r="E18" s="293" t="str">
        <f>VLOOKUP(C18,Уч!$A$2:$L$34,3,FALSE)</f>
        <v>12.01.1999</v>
      </c>
      <c r="F18" s="378" t="str">
        <f>VLOOKUP(C18,Уч!$A$2:$L$34,5,FALSE)</f>
        <v xml:space="preserve">Кемеровская область  </v>
      </c>
      <c r="G18" s="400" t="str">
        <f t="shared" si="0"/>
        <v>4:17.35</v>
      </c>
      <c r="H18" s="295">
        <f t="shared" si="1"/>
        <v>830</v>
      </c>
      <c r="J18" s="401">
        <v>41735</v>
      </c>
      <c r="K18" s="402" t="str">
        <f t="shared" si="2"/>
        <v>257,35</v>
      </c>
    </row>
    <row r="19" spans="1:19" s="280" customFormat="1" ht="13.2" customHeight="1" x14ac:dyDescent="0.35">
      <c r="A19" s="200"/>
      <c r="B19" s="200">
        <v>3</v>
      </c>
      <c r="C19" s="200">
        <v>69</v>
      </c>
      <c r="D19" s="292" t="e">
        <f>VLOOKUP(C19,Уч!$A$2:$L$34,2,FALSE)</f>
        <v>#N/A</v>
      </c>
      <c r="E19" s="293" t="e">
        <f>VLOOKUP(C19,Уч!$A$2:$L$34,3,FALSE)</f>
        <v>#N/A</v>
      </c>
      <c r="F19" s="378" t="e">
        <f>VLOOKUP(C19,Уч!$A$2:$L$34,5,FALSE)</f>
        <v>#N/A</v>
      </c>
      <c r="G19" s="400" t="str">
        <f t="shared" si="0"/>
        <v>4:13.03</v>
      </c>
      <c r="H19" s="295">
        <f t="shared" si="1"/>
        <v>860</v>
      </c>
      <c r="J19" s="401">
        <v>41303</v>
      </c>
      <c r="K19" s="402" t="str">
        <f t="shared" si="2"/>
        <v>253,03</v>
      </c>
    </row>
    <row r="20" spans="1:19" s="280" customFormat="1" ht="13.2" customHeight="1" x14ac:dyDescent="0.35">
      <c r="A20" s="200"/>
      <c r="B20" s="200">
        <v>4</v>
      </c>
      <c r="C20" s="200">
        <v>78</v>
      </c>
      <c r="D20" s="292" t="str">
        <f>VLOOKUP(C20,Уч!$A$2:$L$34,2,FALSE)</f>
        <v>Слаква Максим</v>
      </c>
      <c r="E20" s="293" t="str">
        <f>VLOOKUP(C20,Уч!$A$2:$L$34,3,FALSE)</f>
        <v>10.05.1998</v>
      </c>
      <c r="F20" s="378" t="str">
        <f>VLOOKUP(C20,Уч!$A$2:$L$34,5,FALSE)</f>
        <v xml:space="preserve">Ставропольский край  </v>
      </c>
      <c r="G20" s="400" t="str">
        <f t="shared" si="0"/>
        <v>4:51.28</v>
      </c>
      <c r="H20" s="295">
        <f t="shared" si="1"/>
        <v>611</v>
      </c>
      <c r="J20" s="401">
        <v>45128</v>
      </c>
      <c r="K20" s="402" t="str">
        <f t="shared" si="2"/>
        <v>291,28</v>
      </c>
    </row>
    <row r="21" spans="1:19" s="280" customFormat="1" ht="13.2" customHeight="1" x14ac:dyDescent="0.35">
      <c r="A21" s="200"/>
      <c r="B21" s="200">
        <v>5</v>
      </c>
      <c r="C21" s="200">
        <v>50</v>
      </c>
      <c r="D21" s="292" t="e">
        <f>VLOOKUP(C21,Уч!$A$2:$L$34,2,FALSE)</f>
        <v>#N/A</v>
      </c>
      <c r="E21" s="293" t="e">
        <f>VLOOKUP(C21,Уч!$A$2:$L$34,3,FALSE)</f>
        <v>#N/A</v>
      </c>
      <c r="F21" s="378" t="e">
        <f>VLOOKUP(C21,Уч!$A$2:$L$34,5,FALSE)</f>
        <v>#N/A</v>
      </c>
      <c r="G21" s="400" t="str">
        <f t="shared" si="0"/>
        <v>4:54.00</v>
      </c>
      <c r="H21" s="295">
        <f t="shared" si="1"/>
        <v>595</v>
      </c>
      <c r="J21" s="401">
        <v>45400</v>
      </c>
      <c r="K21" s="402" t="str">
        <f t="shared" si="2"/>
        <v>294,00</v>
      </c>
      <c r="L21" s="280" t="s">
        <v>165</v>
      </c>
    </row>
    <row r="22" spans="1:19" s="280" customFormat="1" ht="13.2" customHeight="1" x14ac:dyDescent="0.35">
      <c r="A22" s="200"/>
      <c r="B22" s="200">
        <v>6</v>
      </c>
      <c r="C22" s="200">
        <v>26</v>
      </c>
      <c r="D22" s="292" t="e">
        <f>VLOOKUP(C22,Уч!$A$2:$L$34,2,FALSE)</f>
        <v>#N/A</v>
      </c>
      <c r="E22" s="293" t="e">
        <f>VLOOKUP(C22,Уч!$A$2:$L$34,3,FALSE)</f>
        <v>#N/A</v>
      </c>
      <c r="F22" s="378" t="e">
        <f>VLOOKUP(C22,Уч!$A$2:$L$34,5,FALSE)</f>
        <v>#N/A</v>
      </c>
      <c r="G22" s="400" t="str">
        <f t="shared" si="0"/>
        <v>4:52.09</v>
      </c>
      <c r="H22" s="295">
        <f t="shared" si="1"/>
        <v>606</v>
      </c>
      <c r="J22" s="401">
        <v>45209</v>
      </c>
      <c r="K22" s="402" t="str">
        <f t="shared" si="2"/>
        <v>292,09</v>
      </c>
    </row>
    <row r="23" spans="1:19" s="280" customFormat="1" ht="13.2" customHeight="1" x14ac:dyDescent="0.35">
      <c r="A23" s="200"/>
      <c r="B23" s="200">
        <v>7</v>
      </c>
      <c r="C23" s="200">
        <v>44</v>
      </c>
      <c r="D23" s="292" t="str">
        <f>VLOOKUP(C23,Уч!$A$2:$L$34,2,FALSE)</f>
        <v>Хамедов Игорь</v>
      </c>
      <c r="E23" s="293" t="str">
        <f>VLOOKUP(C23,Уч!$A$2:$L$34,3,FALSE)</f>
        <v>30.05.1998</v>
      </c>
      <c r="F23" s="378" t="str">
        <f>VLOOKUP(C23,Уч!$A$2:$L$34,5,FALSE)</f>
        <v xml:space="preserve">Кемеровская область  </v>
      </c>
      <c r="G23" s="400" t="str">
        <f t="shared" si="0"/>
        <v>4:41.81</v>
      </c>
      <c r="H23" s="295">
        <f t="shared" si="1"/>
        <v>669</v>
      </c>
      <c r="J23" s="401">
        <v>44181</v>
      </c>
      <c r="K23" s="402" t="str">
        <f t="shared" si="2"/>
        <v>281,81</v>
      </c>
    </row>
    <row r="24" spans="1:19" s="280" customFormat="1" ht="13.2" customHeight="1" x14ac:dyDescent="0.35">
      <c r="A24" s="200"/>
      <c r="B24" s="200">
        <v>8</v>
      </c>
      <c r="C24" s="200">
        <v>68</v>
      </c>
      <c r="D24" s="292" t="e">
        <f>VLOOKUP(C24,Уч!$A$2:$L$34,2,FALSE)</f>
        <v>#N/A</v>
      </c>
      <c r="E24" s="293" t="e">
        <f>VLOOKUP(C24,Уч!$A$2:$L$34,3,FALSE)</f>
        <v>#N/A</v>
      </c>
      <c r="F24" s="378" t="e">
        <f>VLOOKUP(C24,Уч!$A$2:$L$34,5,FALSE)</f>
        <v>#N/A</v>
      </c>
      <c r="G24" s="400" t="str">
        <f t="shared" si="0"/>
        <v>4:42.73</v>
      </c>
      <c r="H24" s="295">
        <f t="shared" si="1"/>
        <v>663</v>
      </c>
      <c r="J24" s="401">
        <v>44273</v>
      </c>
      <c r="K24" s="402" t="str">
        <f t="shared" si="2"/>
        <v>282,73</v>
      </c>
    </row>
    <row r="25" spans="1:19" s="280" customFormat="1" ht="13.2" customHeight="1" x14ac:dyDescent="0.35">
      <c r="A25" s="200"/>
      <c r="B25" s="200">
        <v>9</v>
      </c>
      <c r="C25" s="200">
        <v>8</v>
      </c>
      <c r="D25" s="292" t="e">
        <f>VLOOKUP(C25,Уч!$A$2:$L$34,2,FALSE)</f>
        <v>#N/A</v>
      </c>
      <c r="E25" s="293" t="e">
        <f>VLOOKUP(C25,Уч!$A$2:$L$34,3,FALSE)</f>
        <v>#N/A</v>
      </c>
      <c r="F25" s="378" t="e">
        <f>VLOOKUP(C25,Уч!$A$2:$L$34,5,FALSE)</f>
        <v>#N/A</v>
      </c>
      <c r="G25" s="400" t="str">
        <f t="shared" si="0"/>
        <v>4:51.62</v>
      </c>
      <c r="H25" s="295">
        <f t="shared" si="1"/>
        <v>609</v>
      </c>
      <c r="J25" s="401">
        <v>45162</v>
      </c>
      <c r="K25" s="402" t="str">
        <f t="shared" si="2"/>
        <v>291,62</v>
      </c>
    </row>
    <row r="26" spans="1:19" s="280" customFormat="1" ht="13.2" customHeight="1" x14ac:dyDescent="0.35">
      <c r="A26" s="200"/>
      <c r="B26" s="200">
        <v>10</v>
      </c>
      <c r="C26" s="200">
        <v>41</v>
      </c>
      <c r="D26" s="292" t="str">
        <f>VLOOKUP(C26,Уч!$A$2:$L$34,2,FALSE)</f>
        <v>Фомичев Андрей</v>
      </c>
      <c r="E26" s="293" t="str">
        <f>VLOOKUP(C26,Уч!$A$2:$L$34,3,FALSE)</f>
        <v>15.12.1996</v>
      </c>
      <c r="F26" s="378" t="str">
        <f>VLOOKUP(C26,Уч!$A$2:$L$34,5,FALSE)</f>
        <v xml:space="preserve">Кемеровская область  </v>
      </c>
      <c r="G26" s="400" t="str">
        <f t="shared" si="0"/>
        <v>4:52.72</v>
      </c>
      <c r="H26" s="295">
        <f t="shared" si="1"/>
        <v>602</v>
      </c>
      <c r="J26" s="401">
        <v>45272</v>
      </c>
      <c r="K26" s="402" t="str">
        <f t="shared" si="2"/>
        <v>292,72</v>
      </c>
      <c r="L26" s="280" t="s">
        <v>165</v>
      </c>
    </row>
    <row r="27" spans="1:19" s="280" customFormat="1" ht="13.2" customHeight="1" x14ac:dyDescent="0.35">
      <c r="A27" s="200"/>
      <c r="B27" s="200">
        <v>11</v>
      </c>
      <c r="C27" s="200">
        <v>35</v>
      </c>
      <c r="D27" s="292" t="e">
        <f>VLOOKUP(C27,Уч!$A$2:$L$34,2,FALSE)</f>
        <v>#N/A</v>
      </c>
      <c r="E27" s="293" t="e">
        <f>VLOOKUP(C27,Уч!$A$2:$L$34,3,FALSE)</f>
        <v>#N/A</v>
      </c>
      <c r="F27" s="378" t="e">
        <f>VLOOKUP(C27,Уч!$A$2:$L$34,5,FALSE)</f>
        <v>#N/A</v>
      </c>
      <c r="G27" s="400" t="str">
        <f t="shared" si="0"/>
        <v>4:36.19</v>
      </c>
      <c r="H27" s="295">
        <f t="shared" si="1"/>
        <v>704</v>
      </c>
      <c r="I27" s="287"/>
      <c r="J27" s="401">
        <v>43619</v>
      </c>
      <c r="K27" s="402" t="str">
        <f t="shared" si="2"/>
        <v>276,19</v>
      </c>
      <c r="L27" s="231"/>
      <c r="M27" s="287"/>
      <c r="N27" s="287"/>
      <c r="O27" s="287"/>
      <c r="P27" s="287"/>
      <c r="Q27" s="287"/>
      <c r="R27" s="287"/>
      <c r="S27" s="287"/>
    </row>
    <row r="28" spans="1:19" s="280" customFormat="1" ht="13.2" customHeight="1" x14ac:dyDescent="0.35">
      <c r="A28" s="200"/>
      <c r="B28" s="200">
        <v>12</v>
      </c>
      <c r="C28" s="363">
        <v>2</v>
      </c>
      <c r="D28" s="292" t="str">
        <f>VLOOKUP(C28,Уч!$A$2:$L$34,2,FALSE)</f>
        <v>Игнашев Владимир</v>
      </c>
      <c r="E28" s="293" t="str">
        <f>VLOOKUP(C28,Уч!$A$2:$L$34,3,FALSE)</f>
        <v>05.10.1996</v>
      </c>
      <c r="F28" s="378" t="str">
        <f>VLOOKUP(C28,Уч!$A$2:$L$34,5,FALSE)</f>
        <v xml:space="preserve">Ростовская область  </v>
      </c>
      <c r="G28" s="400" t="str">
        <f t="shared" si="0"/>
        <v>4:22.85</v>
      </c>
      <c r="H28" s="295">
        <f t="shared" si="1"/>
        <v>792</v>
      </c>
      <c r="J28" s="401">
        <v>42285</v>
      </c>
      <c r="K28" s="402" t="str">
        <f t="shared" si="2"/>
        <v>262,85</v>
      </c>
      <c r="L28" s="280" t="s">
        <v>238</v>
      </c>
    </row>
    <row r="29" spans="1:19" s="280" customFormat="1" ht="13.2" customHeight="1" x14ac:dyDescent="0.35">
      <c r="A29" s="200"/>
      <c r="B29" s="200">
        <v>13</v>
      </c>
      <c r="C29" s="200">
        <v>80</v>
      </c>
      <c r="D29" s="292" t="e">
        <f>VLOOKUP(C29,Уч!$A$2:$L$34,2,FALSE)</f>
        <v>#N/A</v>
      </c>
      <c r="E29" s="293" t="e">
        <f>VLOOKUP(C29,Уч!$A$2:$L$34,3,FALSE)</f>
        <v>#N/A</v>
      </c>
      <c r="F29" s="378" t="e">
        <f>VLOOKUP(C29,Уч!$A$2:$L$34,5,FALSE)</f>
        <v>#N/A</v>
      </c>
      <c r="G29" s="400" t="str">
        <f t="shared" ref="G29:G38" si="3">IF(J29=0,0,CONCATENATE(MID(J29,1,1),":",MID(J29,2,2),".",MID(J29,4,2)))</f>
        <v>4:15.84</v>
      </c>
      <c r="H29" s="295">
        <f t="shared" ref="H29:H38" si="4">IF(J29&gt;75411,0,IF(K29=0,0,ROUNDDOWN(0.03768*(480-K29)^1.85,0)))</f>
        <v>840</v>
      </c>
      <c r="J29" s="401">
        <v>41584</v>
      </c>
      <c r="K29" s="402" t="str">
        <f t="shared" si="2"/>
        <v>255,84</v>
      </c>
    </row>
    <row r="30" spans="1:19" s="280" customFormat="1" ht="13.2" customHeight="1" x14ac:dyDescent="0.35">
      <c r="A30" s="200"/>
      <c r="B30" s="200">
        <v>14</v>
      </c>
      <c r="C30" s="200">
        <v>54</v>
      </c>
      <c r="D30" s="292" t="e">
        <f>VLOOKUP(C30,Уч!$A$2:$L$34,2,FALSE)</f>
        <v>#N/A</v>
      </c>
      <c r="E30" s="293" t="e">
        <f>VLOOKUP(C30,Уч!$A$2:$L$34,3,FALSE)</f>
        <v>#N/A</v>
      </c>
      <c r="F30" s="378" t="e">
        <f>VLOOKUP(C30,Уч!$A$2:$L$34,5,FALSE)</f>
        <v>#N/A</v>
      </c>
      <c r="G30" s="400" t="str">
        <f t="shared" si="3"/>
        <v>4:43.14</v>
      </c>
      <c r="H30" s="295">
        <f t="shared" si="4"/>
        <v>661</v>
      </c>
      <c r="J30" s="401">
        <v>44314</v>
      </c>
      <c r="K30" s="402" t="str">
        <f t="shared" si="2"/>
        <v>283,14</v>
      </c>
    </row>
    <row r="31" spans="1:19" s="280" customFormat="1" ht="13.2" customHeight="1" x14ac:dyDescent="0.35">
      <c r="A31" s="200"/>
      <c r="B31" s="200">
        <v>15</v>
      </c>
      <c r="C31" s="200">
        <v>81</v>
      </c>
      <c r="D31" s="292" t="str">
        <f>VLOOKUP(C31,Уч!$A$2:$L$34,2,FALSE)</f>
        <v>Исаев Максим</v>
      </c>
      <c r="E31" s="293" t="str">
        <f>VLOOKUP(C31,Уч!$A$2:$L$34,3,FALSE)</f>
        <v>10.07.1997</v>
      </c>
      <c r="F31" s="378" t="str">
        <f>VLOOKUP(C31,Уч!$A$2:$L$34,5,FALSE)</f>
        <v xml:space="preserve">Челябинская область  </v>
      </c>
      <c r="G31" s="400" t="str">
        <f t="shared" ref="G31:G35" si="5">IF(J31=0,0,CONCATENATE(MID(J31,1,1),":",MID(J31,2,2),".",MID(J31,4,2)))</f>
        <v>4:36.63</v>
      </c>
      <c r="H31" s="295">
        <f t="shared" ref="H31:H35" si="6">IF(J31&gt;75411,0,IF(K31=0,0,ROUNDDOWN(0.03768*(480-K31)^1.85,0)))</f>
        <v>702</v>
      </c>
      <c r="J31" s="401">
        <v>43663</v>
      </c>
      <c r="K31" s="402" t="str">
        <f t="shared" si="2"/>
        <v>276,63</v>
      </c>
    </row>
    <row r="32" spans="1:19" s="280" customFormat="1" ht="13.2" customHeight="1" x14ac:dyDescent="0.35">
      <c r="A32" s="200"/>
      <c r="B32" s="200">
        <v>16</v>
      </c>
      <c r="C32" s="200">
        <v>56</v>
      </c>
      <c r="D32" s="292" t="e">
        <f>VLOOKUP(C32,Уч!$A$2:$L$34,2,FALSE)</f>
        <v>#N/A</v>
      </c>
      <c r="E32" s="293" t="e">
        <f>VLOOKUP(C32,Уч!$A$2:$L$34,3,FALSE)</f>
        <v>#N/A</v>
      </c>
      <c r="F32" s="378" t="e">
        <f>VLOOKUP(C32,Уч!$A$2:$L$34,5,FALSE)</f>
        <v>#N/A</v>
      </c>
      <c r="G32" s="400">
        <f t="shared" si="5"/>
        <v>0</v>
      </c>
      <c r="H32" s="295">
        <f t="shared" si="6"/>
        <v>0</v>
      </c>
      <c r="J32" s="401"/>
      <c r="K32" s="402">
        <f t="shared" si="2"/>
        <v>0</v>
      </c>
    </row>
    <row r="33" spans="1:19" s="280" customFormat="1" ht="13.2" customHeight="1" x14ac:dyDescent="0.35">
      <c r="A33" s="200"/>
      <c r="B33" s="200">
        <v>17</v>
      </c>
      <c r="C33" s="200">
        <v>24</v>
      </c>
      <c r="D33" s="292" t="e">
        <f>VLOOKUP(C33,Уч!$A$2:$L$34,2,FALSE)</f>
        <v>#N/A</v>
      </c>
      <c r="E33" s="293" t="e">
        <f>VLOOKUP(C33,Уч!$A$2:$L$34,3,FALSE)</f>
        <v>#N/A</v>
      </c>
      <c r="F33" s="378" t="e">
        <f>VLOOKUP(C33,Уч!$A$2:$L$34,5,FALSE)</f>
        <v>#N/A</v>
      </c>
      <c r="G33" s="400" t="str">
        <f t="shared" si="5"/>
        <v>4:51.71</v>
      </c>
      <c r="H33" s="295">
        <f t="shared" si="6"/>
        <v>608</v>
      </c>
      <c r="J33" s="401">
        <v>45171</v>
      </c>
      <c r="K33" s="402" t="str">
        <f t="shared" si="2"/>
        <v>291,71</v>
      </c>
    </row>
    <row r="34" spans="1:19" s="280" customFormat="1" ht="13.2" customHeight="1" x14ac:dyDescent="0.35">
      <c r="A34" s="200"/>
      <c r="B34" s="200">
        <v>18</v>
      </c>
      <c r="C34" s="200">
        <v>40</v>
      </c>
      <c r="D34" s="292" t="str">
        <f>VLOOKUP(C34,Уч!$A$2:$L$34,2,FALSE)</f>
        <v>Черкасов Алексей</v>
      </c>
      <c r="E34" s="293" t="str">
        <f>VLOOKUP(C34,Уч!$A$2:$L$34,3,FALSE)</f>
        <v>22.10.1994</v>
      </c>
      <c r="F34" s="378" t="str">
        <f>VLOOKUP(C34,Уч!$A$2:$L$34,5,FALSE)</f>
        <v xml:space="preserve">Кемеровская область Санкт-Петербург </v>
      </c>
      <c r="G34" s="400" t="str">
        <f t="shared" si="5"/>
        <v>4:56.96</v>
      </c>
      <c r="H34" s="295">
        <f t="shared" si="6"/>
        <v>577</v>
      </c>
      <c r="J34" s="401">
        <v>45696</v>
      </c>
      <c r="K34" s="402" t="str">
        <f t="shared" si="2"/>
        <v>296,96</v>
      </c>
    </row>
    <row r="35" spans="1:19" s="280" customFormat="1" ht="13.2" customHeight="1" x14ac:dyDescent="0.35">
      <c r="A35" s="200"/>
      <c r="B35" s="200">
        <v>19</v>
      </c>
      <c r="C35" s="200">
        <v>70</v>
      </c>
      <c r="D35" s="292" t="e">
        <f>VLOOKUP(C35,Уч!$A$2:$L$34,2,FALSE)</f>
        <v>#N/A</v>
      </c>
      <c r="E35" s="293" t="e">
        <f>VLOOKUP(C35,Уч!$A$2:$L$34,3,FALSE)</f>
        <v>#N/A</v>
      </c>
      <c r="F35" s="378" t="e">
        <f>VLOOKUP(C35,Уч!$A$2:$L$34,5,FALSE)</f>
        <v>#N/A</v>
      </c>
      <c r="G35" s="400" t="str">
        <f t="shared" si="5"/>
        <v>4:33.36</v>
      </c>
      <c r="H35" s="295">
        <f t="shared" si="6"/>
        <v>723</v>
      </c>
      <c r="J35" s="401">
        <v>43336</v>
      </c>
      <c r="K35" s="402" t="str">
        <f t="shared" si="2"/>
        <v>273,36</v>
      </c>
    </row>
    <row r="36" spans="1:19" s="280" customFormat="1" ht="13.2" customHeight="1" x14ac:dyDescent="0.35">
      <c r="A36" s="403"/>
      <c r="B36" s="522"/>
      <c r="C36" s="522"/>
      <c r="D36" s="712"/>
      <c r="E36" s="713"/>
      <c r="F36" s="622"/>
      <c r="G36" s="714"/>
      <c r="H36" s="715"/>
      <c r="J36" s="401"/>
      <c r="K36" s="402"/>
    </row>
    <row r="37" spans="1:19" s="280" customFormat="1" ht="16.05" customHeight="1" x14ac:dyDescent="0.35">
      <c r="A37" s="403"/>
      <c r="B37" s="557" t="s">
        <v>325</v>
      </c>
      <c r="C37" s="522"/>
      <c r="D37" s="712"/>
      <c r="E37" s="713"/>
      <c r="F37" s="622"/>
      <c r="G37" s="714"/>
      <c r="H37" s="715"/>
      <c r="J37" s="401"/>
      <c r="K37" s="402"/>
    </row>
    <row r="38" spans="1:19" s="280" customFormat="1" ht="16.05" customHeight="1" x14ac:dyDescent="0.35">
      <c r="A38" s="403" t="str">
        <f>IF(J38=0,"",RANK(H38,$H$17:$H$38,0))</f>
        <v/>
      </c>
      <c r="B38" s="557" t="s">
        <v>326</v>
      </c>
      <c r="C38" s="618"/>
      <c r="D38" s="716"/>
      <c r="E38" s="717" t="e">
        <f>VLOOKUP(C38,Уч!$A$2:$L$34,3,FALSE)</f>
        <v>#N/A</v>
      </c>
      <c r="F38" s="718" t="e">
        <f>VLOOKUP(C38,Уч!$A$2:$L$34,5,FALSE)</f>
        <v>#N/A</v>
      </c>
      <c r="G38" s="714">
        <f t="shared" si="3"/>
        <v>0</v>
      </c>
      <c r="H38" s="715">
        <f t="shared" si="4"/>
        <v>0</v>
      </c>
      <c r="J38" s="401"/>
      <c r="K38" s="402">
        <f t="shared" ref="K38" si="7">IF(J38=0,0,CONCATENATE((MID(J38,1,1)*60)+MID(J38,2,2),".",MID(J38,4,2)))</f>
        <v>0</v>
      </c>
    </row>
    <row r="39" spans="1:19" ht="16.05" customHeight="1" x14ac:dyDescent="0.25">
      <c r="B39" s="557" t="s">
        <v>327</v>
      </c>
      <c r="C39" s="523"/>
      <c r="D39" s="576"/>
      <c r="E39" s="577"/>
      <c r="F39" s="578"/>
      <c r="G39" s="719"/>
      <c r="H39" s="586"/>
      <c r="J39" s="146"/>
      <c r="K39" s="406"/>
    </row>
    <row r="40" spans="1:19" s="156" customFormat="1" x14ac:dyDescent="0.25">
      <c r="A40" s="156" t="str">
        <f t="shared" ref="A40:A53" si="8">IF(J40=0,"",RANK(H40,$H$17:$H$38,0))</f>
        <v/>
      </c>
      <c r="B40" s="148"/>
      <c r="C40" s="231"/>
      <c r="D40" s="156" t="s">
        <v>63</v>
      </c>
      <c r="E40" s="232"/>
      <c r="F40" s="405"/>
      <c r="G40" s="355"/>
      <c r="H40" s="319"/>
      <c r="I40" s="41"/>
      <c r="J40" s="146"/>
      <c r="K40" s="406"/>
    </row>
    <row r="41" spans="1:19" x14ac:dyDescent="0.25">
      <c r="A41" s="220" t="str">
        <f t="shared" si="8"/>
        <v/>
      </c>
      <c r="B41" s="220">
        <v>1</v>
      </c>
      <c r="C41" s="407">
        <v>15</v>
      </c>
      <c r="D41" s="321" t="e">
        <f>VLOOKUP(C41,Уч!$A$2:$L$34,2,FALSE)</f>
        <v>#N/A</v>
      </c>
      <c r="E41" s="322" t="e">
        <f>VLOOKUP(C41,Уч!$A$2:$L$34,3,FALSE)</f>
        <v>#N/A</v>
      </c>
      <c r="F41" s="323" t="e">
        <f>VLOOKUP(C41,Уч!$A$2:$L$34,5,FALSE)</f>
        <v>#N/A</v>
      </c>
      <c r="G41" s="154">
        <f t="shared" ref="G41:G53" si="9">IF(J41=0,0,CONCATENATE(MID(J41,1,1),":",MID(J41,2,2),".",MID(J41,4,2)))</f>
        <v>0</v>
      </c>
      <c r="H41" s="155">
        <f t="shared" ref="H41:H53" si="10">IF(J41&gt;75411,0,IF(K41=0,0,ROUNDDOWN(0.03768*(480-K41)^1.85,0)))</f>
        <v>0</v>
      </c>
      <c r="J41" s="146"/>
      <c r="K41" s="406">
        <f t="shared" ref="K41:K53" si="11">IF(J41=0,0,CONCATENATE((MID(J41,1,1)*60)+MID(J41,2,2),".",MID(J41,4,2)))</f>
        <v>0</v>
      </c>
      <c r="L41" s="148"/>
      <c r="M41" s="156"/>
      <c r="N41" s="156"/>
      <c r="O41" s="156"/>
      <c r="P41" s="156"/>
      <c r="Q41" s="156"/>
      <c r="R41" s="156"/>
      <c r="S41" s="156"/>
    </row>
    <row r="42" spans="1:19" x14ac:dyDescent="0.25">
      <c r="A42" s="220" t="str">
        <f t="shared" si="8"/>
        <v/>
      </c>
      <c r="B42" s="220">
        <v>2</v>
      </c>
      <c r="C42" s="407">
        <v>21</v>
      </c>
      <c r="D42" s="321" t="str">
        <f>VLOOKUP(C42,Уч!$A$2:$L$34,2,FALSE)</f>
        <v>Гасленко Кирилл</v>
      </c>
      <c r="E42" s="322">
        <f>VLOOKUP(C42,Уч!$A$2:$L$34,3,FALSE)</f>
        <v>36317</v>
      </c>
      <c r="F42" s="323" t="str">
        <f>VLOOKUP(C42,Уч!$A$2:$L$34,5,FALSE)</f>
        <v xml:space="preserve">Краснодарский край  </v>
      </c>
      <c r="G42" s="154">
        <f t="shared" si="9"/>
        <v>0</v>
      </c>
      <c r="H42" s="155">
        <f t="shared" si="10"/>
        <v>0</v>
      </c>
      <c r="J42" s="146"/>
      <c r="K42" s="406">
        <f t="shared" si="11"/>
        <v>0</v>
      </c>
    </row>
    <row r="43" spans="1:19" x14ac:dyDescent="0.25">
      <c r="A43" s="220" t="str">
        <f t="shared" si="8"/>
        <v/>
      </c>
      <c r="B43" s="220">
        <v>3</v>
      </c>
      <c r="C43" s="407">
        <v>22</v>
      </c>
      <c r="D43" s="321" t="str">
        <f>VLOOKUP(C43,Уч!$A$2:$L$34,2,FALSE)</f>
        <v>Чернов Евгений</v>
      </c>
      <c r="E43" s="322" t="str">
        <f>VLOOKUP(C43,Уч!$A$2:$L$34,3,FALSE)</f>
        <v>09.11.1991</v>
      </c>
      <c r="F43" s="323" t="str">
        <f>VLOOKUP(C43,Уч!$A$2:$L$34,5,FALSE)</f>
        <v xml:space="preserve">Краснодарский край  </v>
      </c>
      <c r="G43" s="154">
        <f t="shared" si="9"/>
        <v>0</v>
      </c>
      <c r="H43" s="155">
        <f t="shared" si="10"/>
        <v>0</v>
      </c>
      <c r="J43" s="146"/>
      <c r="K43" s="406">
        <f t="shared" si="11"/>
        <v>0</v>
      </c>
    </row>
    <row r="44" spans="1:19" x14ac:dyDescent="0.25">
      <c r="A44" s="220" t="str">
        <f t="shared" si="8"/>
        <v/>
      </c>
      <c r="B44" s="220">
        <v>4</v>
      </c>
      <c r="C44" s="407">
        <v>24</v>
      </c>
      <c r="D44" s="321" t="e">
        <f>VLOOKUP(C44,Уч!$A$2:$L$34,2,FALSE)</f>
        <v>#N/A</v>
      </c>
      <c r="E44" s="322" t="e">
        <f>VLOOKUP(C44,Уч!$A$2:$L$34,3,FALSE)</f>
        <v>#N/A</v>
      </c>
      <c r="F44" s="323" t="e">
        <f>VLOOKUP(C44,Уч!$A$2:$L$34,5,FALSE)</f>
        <v>#N/A</v>
      </c>
      <c r="G44" s="154">
        <f t="shared" si="9"/>
        <v>0</v>
      </c>
      <c r="H44" s="155">
        <f t="shared" si="10"/>
        <v>0</v>
      </c>
      <c r="J44" s="146"/>
      <c r="K44" s="406">
        <f t="shared" si="11"/>
        <v>0</v>
      </c>
    </row>
    <row r="45" spans="1:19" x14ac:dyDescent="0.25">
      <c r="A45" s="220" t="str">
        <f t="shared" si="8"/>
        <v/>
      </c>
      <c r="B45" s="220">
        <v>5</v>
      </c>
      <c r="C45" s="407">
        <v>28</v>
      </c>
      <c r="D45" s="321" t="e">
        <f>VLOOKUP(C45,Уч!$A$2:$L$34,2,FALSE)</f>
        <v>#N/A</v>
      </c>
      <c r="E45" s="322" t="e">
        <f>VLOOKUP(C45,Уч!$A$2:$L$34,3,FALSE)</f>
        <v>#N/A</v>
      </c>
      <c r="F45" s="323" t="e">
        <f>VLOOKUP(C45,Уч!$A$2:$L$34,5,FALSE)</f>
        <v>#N/A</v>
      </c>
      <c r="G45" s="154">
        <f t="shared" si="9"/>
        <v>0</v>
      </c>
      <c r="H45" s="155">
        <f t="shared" si="10"/>
        <v>0</v>
      </c>
      <c r="J45" s="146"/>
      <c r="K45" s="406">
        <f t="shared" si="11"/>
        <v>0</v>
      </c>
    </row>
    <row r="46" spans="1:19" x14ac:dyDescent="0.25">
      <c r="A46" s="220" t="str">
        <f t="shared" si="8"/>
        <v/>
      </c>
      <c r="B46" s="220">
        <v>6</v>
      </c>
      <c r="C46" s="407">
        <v>32</v>
      </c>
      <c r="D46" s="321" t="e">
        <f>VLOOKUP(C46,Уч!$A$2:$L$34,2,FALSE)</f>
        <v>#N/A</v>
      </c>
      <c r="E46" s="322" t="e">
        <f>VLOOKUP(C46,Уч!$A$2:$L$34,3,FALSE)</f>
        <v>#N/A</v>
      </c>
      <c r="F46" s="323" t="e">
        <f>VLOOKUP(C46,Уч!$A$2:$L$34,5,FALSE)</f>
        <v>#N/A</v>
      </c>
      <c r="G46" s="154">
        <f t="shared" si="9"/>
        <v>0</v>
      </c>
      <c r="H46" s="155">
        <f t="shared" si="10"/>
        <v>0</v>
      </c>
      <c r="J46" s="146"/>
      <c r="K46" s="406">
        <f t="shared" si="11"/>
        <v>0</v>
      </c>
    </row>
    <row r="47" spans="1:19" x14ac:dyDescent="0.25">
      <c r="A47" s="220" t="str">
        <f t="shared" si="8"/>
        <v/>
      </c>
      <c r="B47" s="220">
        <v>7</v>
      </c>
      <c r="C47" s="407">
        <v>38</v>
      </c>
      <c r="D47" s="321" t="e">
        <f>VLOOKUP(C47,Уч!$A$2:$L$34,2,FALSE)</f>
        <v>#N/A</v>
      </c>
      <c r="E47" s="322" t="e">
        <f>VLOOKUP(C47,Уч!$A$2:$L$34,3,FALSE)</f>
        <v>#N/A</v>
      </c>
      <c r="F47" s="323" t="e">
        <f>VLOOKUP(C47,Уч!$A$2:$L$34,5,FALSE)</f>
        <v>#N/A</v>
      </c>
      <c r="G47" s="154">
        <f t="shared" si="9"/>
        <v>0</v>
      </c>
      <c r="H47" s="155">
        <f t="shared" si="10"/>
        <v>0</v>
      </c>
      <c r="J47" s="146"/>
      <c r="K47" s="406">
        <f t="shared" si="11"/>
        <v>0</v>
      </c>
    </row>
    <row r="48" spans="1:19" x14ac:dyDescent="0.25">
      <c r="A48" s="220" t="str">
        <f t="shared" si="8"/>
        <v/>
      </c>
      <c r="B48" s="220">
        <v>8</v>
      </c>
      <c r="C48" s="407">
        <v>39</v>
      </c>
      <c r="D48" s="321" t="str">
        <f>VLOOKUP(C48,Уч!$A$2:$L$34,2,FALSE)</f>
        <v>Левковский Андрей</v>
      </c>
      <c r="E48" s="322" t="str">
        <f>VLOOKUP(C48,Уч!$A$2:$L$34,3,FALSE)</f>
        <v>17.08.1997</v>
      </c>
      <c r="F48" s="323" t="str">
        <f>VLOOKUP(C48,Уч!$A$2:$L$34,5,FALSE)</f>
        <v xml:space="preserve">Кемеровская область  </v>
      </c>
      <c r="G48" s="154">
        <f t="shared" si="9"/>
        <v>0</v>
      </c>
      <c r="H48" s="155">
        <f t="shared" si="10"/>
        <v>0</v>
      </c>
      <c r="J48" s="146"/>
      <c r="K48" s="406">
        <f t="shared" si="11"/>
        <v>0</v>
      </c>
      <c r="L48" s="41" t="s">
        <v>165</v>
      </c>
    </row>
    <row r="49" spans="1:19" x14ac:dyDescent="0.25">
      <c r="A49" s="220" t="str">
        <f t="shared" si="8"/>
        <v/>
      </c>
      <c r="B49" s="220">
        <v>9</v>
      </c>
      <c r="C49" s="407">
        <v>40</v>
      </c>
      <c r="D49" s="321" t="str">
        <f>VLOOKUP(C49,Уч!$A$2:$L$34,2,FALSE)</f>
        <v>Черкасов Алексей</v>
      </c>
      <c r="E49" s="322" t="str">
        <f>VLOOKUP(C49,Уч!$A$2:$L$34,3,FALSE)</f>
        <v>22.10.1994</v>
      </c>
      <c r="F49" s="323" t="str">
        <f>VLOOKUP(C49,Уч!$A$2:$L$34,5,FALSE)</f>
        <v xml:space="preserve">Кемеровская область Санкт-Петербург </v>
      </c>
      <c r="G49" s="154">
        <f t="shared" si="9"/>
        <v>0</v>
      </c>
      <c r="H49" s="155">
        <f t="shared" si="10"/>
        <v>0</v>
      </c>
      <c r="J49" s="146"/>
      <c r="K49" s="406">
        <f t="shared" si="11"/>
        <v>0</v>
      </c>
    </row>
    <row r="50" spans="1:19" x14ac:dyDescent="0.25">
      <c r="A50" s="219" t="str">
        <f t="shared" si="8"/>
        <v/>
      </c>
      <c r="B50" s="220">
        <v>10</v>
      </c>
      <c r="C50" s="407">
        <v>41</v>
      </c>
      <c r="D50" s="321" t="str">
        <f>VLOOKUP(C50,Уч!$A$2:$L$34,2,FALSE)</f>
        <v>Фомичев Андрей</v>
      </c>
      <c r="E50" s="322" t="str">
        <f>VLOOKUP(C50,Уч!$A$2:$L$34,3,FALSE)</f>
        <v>15.12.1996</v>
      </c>
      <c r="F50" s="323" t="str">
        <f>VLOOKUP(C50,Уч!$A$2:$L$34,5,FALSE)</f>
        <v xml:space="preserve">Кемеровская область  </v>
      </c>
      <c r="G50" s="154">
        <f t="shared" si="9"/>
        <v>0</v>
      </c>
      <c r="H50" s="155">
        <f t="shared" si="10"/>
        <v>0</v>
      </c>
      <c r="J50" s="146"/>
      <c r="K50" s="406">
        <f t="shared" si="11"/>
        <v>0</v>
      </c>
    </row>
    <row r="51" spans="1:19" x14ac:dyDescent="0.25">
      <c r="A51" s="219" t="str">
        <f t="shared" si="8"/>
        <v/>
      </c>
      <c r="B51" s="220">
        <v>11</v>
      </c>
      <c r="C51" s="408">
        <v>63</v>
      </c>
      <c r="D51" s="321" t="e">
        <f>VLOOKUP(C51,Уч!$A$2:$L$34,2,FALSE)</f>
        <v>#N/A</v>
      </c>
      <c r="E51" s="322" t="e">
        <f>VLOOKUP(C51,Уч!$A$2:$L$34,3,FALSE)</f>
        <v>#N/A</v>
      </c>
      <c r="F51" s="323" t="e">
        <f>VLOOKUP(C51,Уч!$A$2:$L$34,5,FALSE)</f>
        <v>#N/A</v>
      </c>
      <c r="G51" s="409">
        <f t="shared" si="9"/>
        <v>0</v>
      </c>
      <c r="H51" s="247">
        <f t="shared" si="10"/>
        <v>0</v>
      </c>
      <c r="J51" s="146"/>
      <c r="K51" s="406">
        <f t="shared" si="11"/>
        <v>0</v>
      </c>
    </row>
    <row r="52" spans="1:19" x14ac:dyDescent="0.25">
      <c r="A52" s="219" t="str">
        <f t="shared" si="8"/>
        <v/>
      </c>
      <c r="B52" s="220">
        <v>12</v>
      </c>
      <c r="C52" s="408">
        <v>66</v>
      </c>
      <c r="D52" s="321" t="e">
        <f>VLOOKUP(C52,Уч!$A$2:$L$34,2,FALSE)</f>
        <v>#N/A</v>
      </c>
      <c r="E52" s="322" t="e">
        <f>VLOOKUP(C52,Уч!$A$2:$L$34,3,FALSE)</f>
        <v>#N/A</v>
      </c>
      <c r="F52" s="323" t="e">
        <f>VLOOKUP(C52,Уч!$A$2:$L$34,5,FALSE)</f>
        <v>#N/A</v>
      </c>
      <c r="G52" s="409">
        <f t="shared" si="9"/>
        <v>0</v>
      </c>
      <c r="H52" s="247">
        <f t="shared" si="10"/>
        <v>0</v>
      </c>
      <c r="J52" s="146"/>
      <c r="K52" s="406">
        <f t="shared" si="11"/>
        <v>0</v>
      </c>
    </row>
    <row r="53" spans="1:19" x14ac:dyDescent="0.25">
      <c r="A53" s="219" t="str">
        <f t="shared" si="8"/>
        <v/>
      </c>
      <c r="B53" s="220">
        <v>13</v>
      </c>
      <c r="C53" s="408">
        <v>52</v>
      </c>
      <c r="D53" s="321" t="e">
        <f>VLOOKUP(C53,Уч!$A$2:$L$34,2,FALSE)</f>
        <v>#N/A</v>
      </c>
      <c r="E53" s="322" t="e">
        <f>VLOOKUP(C53,Уч!$A$2:$L$34,3,FALSE)</f>
        <v>#N/A</v>
      </c>
      <c r="F53" s="323" t="e">
        <f>VLOOKUP(C53,Уч!$A$2:$L$34,5,FALSE)</f>
        <v>#N/A</v>
      </c>
      <c r="G53" s="410">
        <f t="shared" si="9"/>
        <v>0</v>
      </c>
      <c r="H53" s="411">
        <f t="shared" si="10"/>
        <v>0</v>
      </c>
      <c r="J53" s="146"/>
      <c r="K53" s="406">
        <f t="shared" si="11"/>
        <v>0</v>
      </c>
    </row>
    <row r="54" spans="1:19" x14ac:dyDescent="0.25">
      <c r="B54" s="148"/>
      <c r="C54" s="404"/>
      <c r="E54" s="232"/>
      <c r="F54" s="405"/>
      <c r="G54" s="355"/>
      <c r="H54" s="319"/>
      <c r="J54" s="146"/>
      <c r="K54" s="406"/>
    </row>
    <row r="55" spans="1:19" s="156" customFormat="1" x14ac:dyDescent="0.25">
      <c r="A55" s="156" t="str">
        <f t="shared" ref="A55:A69" si="12">IF(J55=0,"",RANK(H55,$H$17:$H$38,0))</f>
        <v/>
      </c>
      <c r="B55" s="148"/>
      <c r="C55" s="231"/>
      <c r="D55" s="156" t="s">
        <v>64</v>
      </c>
      <c r="E55" s="232"/>
      <c r="F55" s="405"/>
      <c r="G55" s="355"/>
      <c r="H55" s="319"/>
      <c r="I55" s="41"/>
      <c r="J55" s="146"/>
      <c r="K55" s="406"/>
    </row>
    <row r="56" spans="1:19" x14ac:dyDescent="0.25">
      <c r="A56" s="220" t="str">
        <f t="shared" si="12"/>
        <v/>
      </c>
      <c r="B56" s="220">
        <v>1</v>
      </c>
      <c r="C56" s="220"/>
      <c r="D56" s="221" t="e">
        <f>VLOOKUP(C56,Уч!$A$2:$L$34,2,FALSE)</f>
        <v>#N/A</v>
      </c>
      <c r="E56" s="222" t="e">
        <f>VLOOKUP(C56,Уч!$A$2:$L$34,3,FALSE)</f>
        <v>#N/A</v>
      </c>
      <c r="F56" s="223" t="e">
        <f>VLOOKUP(C56,Уч!$A$2:$L$34,5,FALSE)</f>
        <v>#N/A</v>
      </c>
      <c r="G56" s="154">
        <f>IF(J56=0,0,CONCATENATE(MID(J56,1,1),":",MID(J56,2,2),".",MID(J56,4,2)))</f>
        <v>0</v>
      </c>
      <c r="H56" s="155">
        <f>IF(J56&gt;75411,0,IF(K56=0,0,ROUNDDOWN(0.03768*(480-K56)^1.85,0)))</f>
        <v>0</v>
      </c>
      <c r="J56" s="146"/>
      <c r="K56" s="406">
        <f t="shared" ref="K56:K73" si="13">IF(J56=0,0,CONCATENATE((MID(J56,1,1)*60)+MID(J56,2,2),".",MID(J56,4,2)))</f>
        <v>0</v>
      </c>
      <c r="L56" s="148"/>
      <c r="M56" s="156"/>
      <c r="N56" s="156"/>
      <c r="O56" s="156"/>
      <c r="P56" s="156"/>
      <c r="Q56" s="156"/>
      <c r="R56" s="156"/>
      <c r="S56" s="156"/>
    </row>
    <row r="57" spans="1:19" x14ac:dyDescent="0.25">
      <c r="A57" s="220" t="str">
        <f t="shared" si="12"/>
        <v/>
      </c>
      <c r="B57" s="220">
        <v>2</v>
      </c>
      <c r="C57" s="230"/>
      <c r="D57" s="221" t="e">
        <f>VLOOKUP(C57,Уч!$A$2:$L$34,2,FALSE)</f>
        <v>#N/A</v>
      </c>
      <c r="E57" s="222" t="e">
        <f>VLOOKUP(C57,Уч!$A$2:$L$34,3,FALSE)</f>
        <v>#N/A</v>
      </c>
      <c r="F57" s="223" t="e">
        <f>VLOOKUP(C57,Уч!$A$2:$L$34,5,FALSE)</f>
        <v>#N/A</v>
      </c>
      <c r="G57" s="154">
        <f>IF(J57=0,0,CONCATENATE(MID(J57,1,1),":",MID(J57,2,2),".",MID(J57,4,2)))</f>
        <v>0</v>
      </c>
      <c r="H57" s="155">
        <f>IF(J57&gt;75411,0,IF(K57=0,0,ROUNDDOWN(0.03768*(480-K57)^1.85,0)))</f>
        <v>0</v>
      </c>
      <c r="J57" s="146"/>
      <c r="K57" s="406">
        <f t="shared" si="13"/>
        <v>0</v>
      </c>
    </row>
    <row r="58" spans="1:19" x14ac:dyDescent="0.25">
      <c r="A58" s="220" t="str">
        <f t="shared" si="12"/>
        <v/>
      </c>
      <c r="B58" s="220">
        <v>3</v>
      </c>
      <c r="C58" s="230"/>
      <c r="D58" s="221" t="e">
        <f>VLOOKUP(C58,Уч!$A$2:$L$34,2,FALSE)</f>
        <v>#N/A</v>
      </c>
      <c r="E58" s="222" t="e">
        <f>VLOOKUP(C58,Уч!$A$2:$L$34,3,FALSE)</f>
        <v>#N/A</v>
      </c>
      <c r="F58" s="223" t="e">
        <f>VLOOKUP(C58,Уч!$A$2:$L$34,5,FALSE)</f>
        <v>#N/A</v>
      </c>
      <c r="G58" s="154">
        <f>IF(J58=0,0,CONCATENATE(MID(J58,1,1),":",MID(J58,2,2),".",MID(J58,4,2)))</f>
        <v>0</v>
      </c>
      <c r="H58" s="155">
        <f>IF(J58&gt;75411,0,IF(K58=0,0,ROUNDDOWN(0.03768*(480-K58)^1.85,0)))</f>
        <v>0</v>
      </c>
      <c r="J58" s="146"/>
      <c r="K58" s="406">
        <f t="shared" si="13"/>
        <v>0</v>
      </c>
    </row>
    <row r="59" spans="1:19" x14ac:dyDescent="0.25">
      <c r="A59" s="220" t="str">
        <f t="shared" si="12"/>
        <v/>
      </c>
      <c r="B59" s="220">
        <v>4</v>
      </c>
      <c r="C59" s="220"/>
      <c r="D59" s="221" t="e">
        <f>VLOOKUP(C59,Уч!$A$2:$L$34,2,FALSE)</f>
        <v>#N/A</v>
      </c>
      <c r="E59" s="222" t="e">
        <f>VLOOKUP(C59,Уч!$A$2:$L$34,3,FALSE)</f>
        <v>#N/A</v>
      </c>
      <c r="F59" s="223" t="e">
        <f>VLOOKUP(C59,Уч!$A$2:$L$34,5,FALSE)</f>
        <v>#N/A</v>
      </c>
      <c r="G59" s="154">
        <f>IF(J59=0,0,CONCATENATE(MID(J59,1,1),":",MID(J59,2,2),".",MID(J59,4,2)))</f>
        <v>0</v>
      </c>
      <c r="H59" s="155">
        <f>IF(J59&gt;75411,0,IF(K59=0,0,ROUNDDOWN(0.03768*(480-K59)^1.85,0)))</f>
        <v>0</v>
      </c>
      <c r="J59" s="146"/>
      <c r="K59" s="406">
        <f t="shared" si="13"/>
        <v>0</v>
      </c>
    </row>
    <row r="60" spans="1:19" x14ac:dyDescent="0.25">
      <c r="A60" s="220" t="str">
        <f t="shared" si="12"/>
        <v/>
      </c>
      <c r="B60" s="220">
        <v>5</v>
      </c>
      <c r="C60" s="220"/>
      <c r="D60" s="221" t="e">
        <f>VLOOKUP(C60,Уч!$A$2:$L$34,2,FALSE)</f>
        <v>#N/A</v>
      </c>
      <c r="E60" s="222" t="e">
        <f>VLOOKUP(C60,Уч!$A$2:$L$34,3,FALSE)</f>
        <v>#N/A</v>
      </c>
      <c r="F60" s="223" t="e">
        <f>VLOOKUP(C60,Уч!$A$2:$L$34,5,FALSE)</f>
        <v>#N/A</v>
      </c>
      <c r="G60" s="154">
        <f t="shared" ref="G60:G67" si="14">IF(J60=0,0,CONCATENATE(MID(J60,1,1),":",MID(J60,2,2),".",MID(J60,4,2)))</f>
        <v>0</v>
      </c>
      <c r="H60" s="155">
        <f t="shared" ref="H60:H67" si="15">IF(J60&gt;75411,0,IF(K60=0,0,ROUNDDOWN(0.03768*(480-K60)^1.85,0)))</f>
        <v>0</v>
      </c>
      <c r="J60" s="146"/>
      <c r="K60" s="406">
        <f t="shared" si="13"/>
        <v>0</v>
      </c>
    </row>
    <row r="61" spans="1:19" x14ac:dyDescent="0.25">
      <c r="A61" s="220" t="str">
        <f t="shared" si="12"/>
        <v/>
      </c>
      <c r="B61" s="220">
        <v>6</v>
      </c>
      <c r="C61" s="230"/>
      <c r="D61" s="221" t="e">
        <f>VLOOKUP(C61,Уч!$A$2:$L$34,2,FALSE)</f>
        <v>#N/A</v>
      </c>
      <c r="E61" s="222" t="e">
        <f>VLOOKUP(C61,Уч!$A$2:$L$34,3,FALSE)</f>
        <v>#N/A</v>
      </c>
      <c r="F61" s="223" t="e">
        <f>VLOOKUP(C61,Уч!$A$2:$L$34,5,FALSE)</f>
        <v>#N/A</v>
      </c>
      <c r="G61" s="154">
        <f t="shared" si="14"/>
        <v>0</v>
      </c>
      <c r="H61" s="155">
        <f t="shared" si="15"/>
        <v>0</v>
      </c>
      <c r="J61" s="146"/>
      <c r="K61" s="406">
        <f t="shared" si="13"/>
        <v>0</v>
      </c>
    </row>
    <row r="62" spans="1:19" x14ac:dyDescent="0.25">
      <c r="A62" s="220" t="str">
        <f t="shared" si="12"/>
        <v/>
      </c>
      <c r="B62" s="220">
        <v>7</v>
      </c>
      <c r="C62" s="220"/>
      <c r="D62" s="221" t="e">
        <f>VLOOKUP(C62,Уч!$A$2:$L$34,2,FALSE)</f>
        <v>#N/A</v>
      </c>
      <c r="E62" s="222" t="e">
        <f>VLOOKUP(C62,Уч!$A$2:$L$34,3,FALSE)</f>
        <v>#N/A</v>
      </c>
      <c r="F62" s="223" t="e">
        <f>VLOOKUP(C62,Уч!$A$2:$L$34,5,FALSE)</f>
        <v>#N/A</v>
      </c>
      <c r="G62" s="154">
        <f t="shared" si="14"/>
        <v>0</v>
      </c>
      <c r="H62" s="155">
        <f t="shared" si="15"/>
        <v>0</v>
      </c>
      <c r="J62" s="146"/>
      <c r="K62" s="406">
        <f t="shared" si="13"/>
        <v>0</v>
      </c>
    </row>
    <row r="63" spans="1:19" x14ac:dyDescent="0.25">
      <c r="A63" s="220" t="str">
        <f t="shared" si="12"/>
        <v/>
      </c>
      <c r="B63" s="220">
        <v>8</v>
      </c>
      <c r="C63" s="220"/>
      <c r="D63" s="221" t="e">
        <f>VLOOKUP(C63,Уч!$A$2:$L$34,2,FALSE)</f>
        <v>#N/A</v>
      </c>
      <c r="E63" s="222" t="e">
        <f>VLOOKUP(C63,Уч!$A$2:$L$34,3,FALSE)</f>
        <v>#N/A</v>
      </c>
      <c r="F63" s="223" t="e">
        <f>VLOOKUP(C63,Уч!$A$2:$L$34,5,FALSE)</f>
        <v>#N/A</v>
      </c>
      <c r="G63" s="154">
        <f t="shared" si="14"/>
        <v>0</v>
      </c>
      <c r="H63" s="155">
        <f t="shared" si="15"/>
        <v>0</v>
      </c>
      <c r="J63" s="146"/>
      <c r="K63" s="406">
        <f t="shared" si="13"/>
        <v>0</v>
      </c>
      <c r="L63" s="41" t="s">
        <v>165</v>
      </c>
    </row>
    <row r="64" spans="1:19" x14ac:dyDescent="0.25">
      <c r="A64" s="220" t="str">
        <f t="shared" si="12"/>
        <v/>
      </c>
      <c r="B64" s="220">
        <v>9</v>
      </c>
      <c r="C64" s="220"/>
      <c r="D64" s="221" t="e">
        <f>VLOOKUP(C64,Уч!$A$2:$L$34,2,FALSE)</f>
        <v>#N/A</v>
      </c>
      <c r="E64" s="222" t="e">
        <f>VLOOKUP(C64,Уч!$A$2:$L$34,3,FALSE)</f>
        <v>#N/A</v>
      </c>
      <c r="F64" s="223" t="e">
        <f>VLOOKUP(C64,Уч!$A$2:$L$34,5,FALSE)</f>
        <v>#N/A</v>
      </c>
      <c r="G64" s="154">
        <f t="shared" si="14"/>
        <v>0</v>
      </c>
      <c r="H64" s="155">
        <f t="shared" si="15"/>
        <v>0</v>
      </c>
      <c r="J64" s="146"/>
      <c r="K64" s="406">
        <f t="shared" si="13"/>
        <v>0</v>
      </c>
    </row>
    <row r="65" spans="1:11" x14ac:dyDescent="0.25">
      <c r="A65" s="219" t="str">
        <f t="shared" si="12"/>
        <v/>
      </c>
      <c r="B65" s="220">
        <v>10</v>
      </c>
      <c r="C65" s="220"/>
      <c r="D65" s="221" t="e">
        <f>VLOOKUP(C65,Уч!$A$2:$L$34,2,FALSE)</f>
        <v>#N/A</v>
      </c>
      <c r="E65" s="222" t="e">
        <f>VLOOKUP(C65,Уч!$A$2:$L$34,3,FALSE)</f>
        <v>#N/A</v>
      </c>
      <c r="F65" s="223" t="e">
        <f>VLOOKUP(C65,Уч!$A$2:$L$34,5,FALSE)</f>
        <v>#N/A</v>
      </c>
      <c r="G65" s="154">
        <f t="shared" si="14"/>
        <v>0</v>
      </c>
      <c r="H65" s="155">
        <f t="shared" si="15"/>
        <v>0</v>
      </c>
      <c r="J65" s="146"/>
      <c r="K65" s="406">
        <f t="shared" si="13"/>
        <v>0</v>
      </c>
    </row>
    <row r="66" spans="1:11" x14ac:dyDescent="0.25">
      <c r="A66" s="219" t="str">
        <f t="shared" si="12"/>
        <v/>
      </c>
      <c r="B66" s="220">
        <v>11</v>
      </c>
      <c r="C66" s="408"/>
      <c r="D66" s="321" t="e">
        <f>VLOOKUP(C66,Уч!$A$2:$L$34,2,FALSE)</f>
        <v>#N/A</v>
      </c>
      <c r="E66" s="322" t="e">
        <f>VLOOKUP(C66,Уч!$A$2:$L$34,3,FALSE)</f>
        <v>#N/A</v>
      </c>
      <c r="F66" s="323" t="e">
        <f>VLOOKUP(C66,Уч!$A$2:$L$34,5,FALSE)</f>
        <v>#N/A</v>
      </c>
      <c r="G66" s="409">
        <f t="shared" si="14"/>
        <v>0</v>
      </c>
      <c r="H66" s="247">
        <f t="shared" si="15"/>
        <v>0</v>
      </c>
      <c r="J66" s="146"/>
      <c r="K66" s="406">
        <f t="shared" si="13"/>
        <v>0</v>
      </c>
    </row>
    <row r="67" spans="1:11" x14ac:dyDescent="0.25">
      <c r="A67" s="219" t="str">
        <f t="shared" si="12"/>
        <v/>
      </c>
      <c r="B67" s="220">
        <v>12</v>
      </c>
      <c r="C67" s="408"/>
      <c r="D67" s="321" t="e">
        <f>VLOOKUP(C67,Уч!$A$2:$L$34,2,FALSE)</f>
        <v>#N/A</v>
      </c>
      <c r="E67" s="322" t="e">
        <f>VLOOKUP(C67,Уч!$A$2:$L$34,3,FALSE)</f>
        <v>#N/A</v>
      </c>
      <c r="F67" s="323" t="e">
        <f>VLOOKUP(C67,Уч!$A$2:$L$34,5,FALSE)</f>
        <v>#N/A</v>
      </c>
      <c r="G67" s="409">
        <f t="shared" si="14"/>
        <v>0</v>
      </c>
      <c r="H67" s="247">
        <f t="shared" si="15"/>
        <v>0</v>
      </c>
      <c r="J67" s="146"/>
      <c r="K67" s="406">
        <f t="shared" si="13"/>
        <v>0</v>
      </c>
    </row>
    <row r="68" spans="1:11" ht="13.8" thickBot="1" x14ac:dyDescent="0.3">
      <c r="A68" s="219" t="str">
        <f t="shared" si="12"/>
        <v/>
      </c>
      <c r="B68" s="220">
        <v>13</v>
      </c>
      <c r="C68" s="408"/>
      <c r="D68" s="321" t="e">
        <f>VLOOKUP(C68,Уч!$A$2:$L$34,2,FALSE)</f>
        <v>#N/A</v>
      </c>
      <c r="E68" s="322" t="e">
        <f>VLOOKUP(C68,Уч!$A$2:$L$34,3,FALSE)</f>
        <v>#N/A</v>
      </c>
      <c r="F68" s="323" t="e">
        <f>VLOOKUP(C68,Уч!$A$2:$L$34,5,FALSE)</f>
        <v>#N/A</v>
      </c>
      <c r="G68" s="410">
        <f t="shared" ref="G68:G86" si="16">IF(J68=0,0,CONCATENATE(MID(J68,1,1),":",MID(J68,2,2),".",MID(J68,4,2)))</f>
        <v>0</v>
      </c>
      <c r="H68" s="411">
        <f t="shared" ref="H68:H86" si="17">IF(J68&gt;75411,0,IF(K68=0,0,ROUNDDOWN(0.03768*(480-K68)^1.85,0)))</f>
        <v>0</v>
      </c>
      <c r="J68" s="146"/>
      <c r="K68" s="406">
        <f t="shared" si="13"/>
        <v>0</v>
      </c>
    </row>
    <row r="69" spans="1:11" ht="13.8" thickBot="1" x14ac:dyDescent="0.3">
      <c r="A69" s="219" t="str">
        <f t="shared" si="12"/>
        <v/>
      </c>
      <c r="B69" s="220"/>
      <c r="C69" s="377"/>
      <c r="D69" s="321" t="e">
        <f>VLOOKUP(C69,Уч!$A$2:$L$34,2,FALSE)</f>
        <v>#N/A</v>
      </c>
      <c r="E69" s="322" t="e">
        <f>VLOOKUP(C69,Уч!$A$2:$L$34,3,FALSE)</f>
        <v>#N/A</v>
      </c>
      <c r="F69" s="362" t="e">
        <f>VLOOKUP(C69,Уч!$A$2:$L$34,5,FALSE)</f>
        <v>#N/A</v>
      </c>
      <c r="G69" s="412">
        <f t="shared" si="16"/>
        <v>0</v>
      </c>
      <c r="H69" s="247">
        <f t="shared" si="17"/>
        <v>0</v>
      </c>
      <c r="J69" s="146"/>
      <c r="K69" s="406">
        <f t="shared" si="13"/>
        <v>0</v>
      </c>
    </row>
    <row r="70" spans="1:11" ht="13.8" thickBot="1" x14ac:dyDescent="0.3">
      <c r="B70" s="220"/>
      <c r="C70" s="377"/>
      <c r="D70" s="321" t="e">
        <f>VLOOKUP(C70,Уч!$A$2:$L$34,2,FALSE)</f>
        <v>#N/A</v>
      </c>
      <c r="E70" s="322" t="e">
        <f>VLOOKUP(C70,Уч!$A$2:$L$34,3,FALSE)</f>
        <v>#N/A</v>
      </c>
      <c r="F70" s="362" t="e">
        <f>VLOOKUP(C70,Уч!$A$2:$L$34,5,FALSE)</f>
        <v>#N/A</v>
      </c>
      <c r="G70" s="412">
        <f t="shared" si="16"/>
        <v>0</v>
      </c>
      <c r="H70" s="247">
        <f t="shared" si="17"/>
        <v>0</v>
      </c>
      <c r="J70" s="146"/>
      <c r="K70" s="406">
        <f t="shared" si="13"/>
        <v>0</v>
      </c>
    </row>
    <row r="71" spans="1:11" ht="13.8" thickBot="1" x14ac:dyDescent="0.3">
      <c r="B71" s="220"/>
      <c r="C71" s="377"/>
      <c r="D71" s="321" t="e">
        <f>VLOOKUP(C71,Уч!$A$2:$L$34,2,FALSE)</f>
        <v>#N/A</v>
      </c>
      <c r="E71" s="322" t="e">
        <f>VLOOKUP(C71,Уч!$A$2:$L$34,3,FALSE)</f>
        <v>#N/A</v>
      </c>
      <c r="F71" s="362" t="e">
        <f>VLOOKUP(C71,Уч!$A$2:$L$34,5,FALSE)</f>
        <v>#N/A</v>
      </c>
      <c r="G71" s="412">
        <f t="shared" si="16"/>
        <v>0</v>
      </c>
      <c r="H71" s="247">
        <f t="shared" si="17"/>
        <v>0</v>
      </c>
      <c r="J71" s="146"/>
      <c r="K71" s="406">
        <f t="shared" si="13"/>
        <v>0</v>
      </c>
    </row>
    <row r="72" spans="1:11" ht="13.8" thickBot="1" x14ac:dyDescent="0.3">
      <c r="B72" s="220"/>
      <c r="C72" s="377"/>
      <c r="D72" s="321" t="e">
        <f>VLOOKUP(C72,Уч!$A$2:$L$34,2,FALSE)</f>
        <v>#N/A</v>
      </c>
      <c r="E72" s="322" t="e">
        <f>VLOOKUP(C72,Уч!$A$2:$L$34,3,FALSE)</f>
        <v>#N/A</v>
      </c>
      <c r="F72" s="362" t="e">
        <f>VLOOKUP(C72,Уч!$A$2:$L$34,5,FALSE)</f>
        <v>#N/A</v>
      </c>
      <c r="G72" s="412">
        <f t="shared" si="16"/>
        <v>0</v>
      </c>
      <c r="H72" s="247">
        <f t="shared" si="17"/>
        <v>0</v>
      </c>
      <c r="J72" s="146"/>
      <c r="K72" s="406">
        <f t="shared" si="13"/>
        <v>0</v>
      </c>
    </row>
    <row r="73" spans="1:11" ht="13.8" thickBot="1" x14ac:dyDescent="0.3">
      <c r="C73" s="377"/>
      <c r="D73" s="321" t="e">
        <f>VLOOKUP(C73,Уч!$A$2:$L$34,2,FALSE)</f>
        <v>#N/A</v>
      </c>
      <c r="E73" s="322" t="e">
        <f>VLOOKUP(C73,Уч!$A$2:$L$34,3,FALSE)</f>
        <v>#N/A</v>
      </c>
      <c r="F73" s="362" t="e">
        <f>VLOOKUP(C73,Уч!$A$2:$L$34,5,FALSE)</f>
        <v>#N/A</v>
      </c>
      <c r="G73" s="412">
        <f t="shared" si="16"/>
        <v>0</v>
      </c>
      <c r="H73" s="247">
        <f t="shared" si="17"/>
        <v>0</v>
      </c>
      <c r="J73" s="146"/>
      <c r="K73" s="406">
        <f t="shared" si="13"/>
        <v>0</v>
      </c>
    </row>
    <row r="74" spans="1:11" ht="13.8" thickBot="1" x14ac:dyDescent="0.3">
      <c r="D74" s="321" t="e">
        <f>VLOOKUP(C74,Уч!$A$2:$L$34,2,FALSE)</f>
        <v>#N/A</v>
      </c>
      <c r="E74" s="322" t="e">
        <f>VLOOKUP(C74,Уч!$A$2:$L$34,3,FALSE)</f>
        <v>#N/A</v>
      </c>
      <c r="F74" s="362" t="e">
        <f>VLOOKUP(C74,Уч!$A$2:$L$34,5,FALSE)</f>
        <v>#N/A</v>
      </c>
      <c r="G74" s="412">
        <f t="shared" si="16"/>
        <v>0</v>
      </c>
      <c r="H74" s="247">
        <f t="shared" si="17"/>
        <v>0</v>
      </c>
    </row>
    <row r="75" spans="1:11" ht="13.8" thickBot="1" x14ac:dyDescent="0.3">
      <c r="C75" s="377"/>
      <c r="D75" s="221" t="e">
        <f>VLOOKUP(C75,Уч!$A$2:$L$34,2,FALSE)</f>
        <v>#N/A</v>
      </c>
      <c r="E75" s="222" t="e">
        <f>VLOOKUP(C75,Уч!$A$2:$L$34,3,FALSE)</f>
        <v>#N/A</v>
      </c>
      <c r="F75" s="269" t="e">
        <f>VLOOKUP(C75,Уч!$A$2:$L$34,5,FALSE)</f>
        <v>#N/A</v>
      </c>
      <c r="G75" s="412">
        <f t="shared" si="16"/>
        <v>0</v>
      </c>
      <c r="H75" s="247">
        <f t="shared" si="17"/>
        <v>0</v>
      </c>
    </row>
    <row r="76" spans="1:11" ht="13.8" thickBot="1" x14ac:dyDescent="0.3">
      <c r="C76" s="413"/>
      <c r="D76" s="221" t="e">
        <f>VLOOKUP(C76,Уч!$A$2:$L$34,2,FALSE)</f>
        <v>#N/A</v>
      </c>
      <c r="E76" s="222" t="e">
        <f>VLOOKUP(C76,Уч!$A$2:$L$34,3,FALSE)</f>
        <v>#N/A</v>
      </c>
      <c r="F76" s="269" t="e">
        <f>VLOOKUP(C76,Уч!$A$2:$L$34,5,FALSE)</f>
        <v>#N/A</v>
      </c>
      <c r="G76" s="412">
        <f t="shared" si="16"/>
        <v>0</v>
      </c>
      <c r="H76" s="247">
        <f t="shared" si="17"/>
        <v>0</v>
      </c>
    </row>
    <row r="77" spans="1:11" ht="13.8" thickBot="1" x14ac:dyDescent="0.3">
      <c r="C77" s="377"/>
      <c r="D77" s="221" t="e">
        <f>VLOOKUP(C77,Уч!$A$2:$L$34,2,FALSE)</f>
        <v>#N/A</v>
      </c>
      <c r="E77" s="222" t="e">
        <f>VLOOKUP(C77,Уч!$A$2:$L$34,3,FALSE)</f>
        <v>#N/A</v>
      </c>
      <c r="F77" s="269" t="e">
        <f>VLOOKUP(C77,Уч!$A$2:$L$34,5,FALSE)</f>
        <v>#N/A</v>
      </c>
      <c r="G77" s="412">
        <f t="shared" si="16"/>
        <v>0</v>
      </c>
      <c r="H77" s="247">
        <f t="shared" si="17"/>
        <v>0</v>
      </c>
    </row>
    <row r="78" spans="1:11" ht="13.8" thickBot="1" x14ac:dyDescent="0.3">
      <c r="C78" s="414"/>
      <c r="D78" s="221" t="e">
        <f>VLOOKUP(C78,Уч!$A$2:$L$34,2,FALSE)</f>
        <v>#N/A</v>
      </c>
      <c r="E78" s="222" t="e">
        <f>VLOOKUP(C78,Уч!$A$2:$L$34,3,FALSE)</f>
        <v>#N/A</v>
      </c>
      <c r="F78" s="269" t="e">
        <f>VLOOKUP(C78,Уч!$A$2:$L$34,5,FALSE)</f>
        <v>#N/A</v>
      </c>
      <c r="G78" s="412">
        <f t="shared" si="16"/>
        <v>0</v>
      </c>
      <c r="H78" s="247">
        <f t="shared" si="17"/>
        <v>0</v>
      </c>
    </row>
    <row r="79" spans="1:11" ht="13.8" thickBot="1" x14ac:dyDescent="0.3">
      <c r="C79" s="413"/>
      <c r="D79" s="221" t="e">
        <f>VLOOKUP(C79,Уч!$A$2:$L$34,2,FALSE)</f>
        <v>#N/A</v>
      </c>
      <c r="E79" s="222" t="e">
        <f>VLOOKUP(C79,Уч!$A$2:$L$34,3,FALSE)</f>
        <v>#N/A</v>
      </c>
      <c r="F79" s="269" t="e">
        <f>VLOOKUP(C79,Уч!$A$2:$L$34,5,FALSE)</f>
        <v>#N/A</v>
      </c>
      <c r="G79" s="412">
        <f t="shared" si="16"/>
        <v>0</v>
      </c>
      <c r="H79" s="247">
        <f t="shared" si="17"/>
        <v>0</v>
      </c>
    </row>
    <row r="80" spans="1:11" ht="13.8" thickBot="1" x14ac:dyDescent="0.3">
      <c r="C80" s="377"/>
      <c r="D80" s="221" t="e">
        <f>VLOOKUP(C80,Уч!$A$2:$L$34,2,FALSE)</f>
        <v>#N/A</v>
      </c>
      <c r="E80" s="222" t="e">
        <f>VLOOKUP(C80,Уч!$A$2:$L$34,3,FALSE)</f>
        <v>#N/A</v>
      </c>
      <c r="F80" s="269" t="e">
        <f>VLOOKUP(C80,Уч!$A$2:$L$34,5,FALSE)</f>
        <v>#N/A</v>
      </c>
      <c r="G80" s="412">
        <f t="shared" si="16"/>
        <v>0</v>
      </c>
      <c r="H80" s="247">
        <f t="shared" si="17"/>
        <v>0</v>
      </c>
    </row>
    <row r="81" spans="3:8" ht="13.8" thickBot="1" x14ac:dyDescent="0.3">
      <c r="C81" s="414"/>
      <c r="D81" s="221" t="e">
        <f>VLOOKUP(C81,Уч!$A$2:$L$34,2,FALSE)</f>
        <v>#N/A</v>
      </c>
      <c r="E81" s="222" t="e">
        <f>VLOOKUP(C81,Уч!$A$2:$L$34,3,FALSE)</f>
        <v>#N/A</v>
      </c>
      <c r="F81" s="269" t="e">
        <f>VLOOKUP(C81,Уч!$A$2:$L$34,5,FALSE)</f>
        <v>#N/A</v>
      </c>
      <c r="G81" s="412">
        <f t="shared" si="16"/>
        <v>0</v>
      </c>
      <c r="H81" s="247">
        <f t="shared" si="17"/>
        <v>0</v>
      </c>
    </row>
    <row r="82" spans="3:8" ht="13.8" thickBot="1" x14ac:dyDescent="0.3">
      <c r="C82" s="413"/>
      <c r="D82" s="221" t="e">
        <f>VLOOKUP(C82,Уч!$A$2:$L$34,2,FALSE)</f>
        <v>#N/A</v>
      </c>
      <c r="E82" s="222" t="e">
        <f>VLOOKUP(C82,Уч!$A$2:$L$34,3,FALSE)</f>
        <v>#N/A</v>
      </c>
      <c r="F82" s="269" t="e">
        <f>VLOOKUP(C82,Уч!$A$2:$L$34,5,FALSE)</f>
        <v>#N/A</v>
      </c>
      <c r="G82" s="412">
        <f t="shared" si="16"/>
        <v>0</v>
      </c>
      <c r="H82" s="247">
        <f t="shared" si="17"/>
        <v>0</v>
      </c>
    </row>
    <row r="83" spans="3:8" ht="13.8" thickBot="1" x14ac:dyDescent="0.3">
      <c r="C83" s="377"/>
      <c r="D83" s="221" t="e">
        <f>VLOOKUP(C83,Уч!$A$2:$L$34,2,FALSE)</f>
        <v>#N/A</v>
      </c>
      <c r="E83" s="222" t="e">
        <f>VLOOKUP(C83,Уч!$A$2:$L$34,3,FALSE)</f>
        <v>#N/A</v>
      </c>
      <c r="F83" s="269" t="e">
        <f>VLOOKUP(C83,Уч!$A$2:$L$34,5,FALSE)</f>
        <v>#N/A</v>
      </c>
      <c r="G83" s="412">
        <f t="shared" si="16"/>
        <v>0</v>
      </c>
      <c r="H83" s="247">
        <f t="shared" si="17"/>
        <v>0</v>
      </c>
    </row>
    <row r="84" spans="3:8" ht="13.8" thickBot="1" x14ac:dyDescent="0.3">
      <c r="C84" s="377"/>
      <c r="D84" s="221" t="e">
        <f>VLOOKUP(C84,Уч!$A$2:$L$34,2,FALSE)</f>
        <v>#N/A</v>
      </c>
      <c r="E84" s="222" t="e">
        <f>VLOOKUP(C84,Уч!$A$2:$L$34,3,FALSE)</f>
        <v>#N/A</v>
      </c>
      <c r="F84" s="269" t="e">
        <f>VLOOKUP(C84,Уч!$A$2:$L$34,5,FALSE)</f>
        <v>#N/A</v>
      </c>
      <c r="G84" s="412">
        <f t="shared" si="16"/>
        <v>0</v>
      </c>
      <c r="H84" s="247">
        <f t="shared" si="17"/>
        <v>0</v>
      </c>
    </row>
    <row r="85" spans="3:8" ht="13.8" thickBot="1" x14ac:dyDescent="0.3">
      <c r="C85" s="377"/>
      <c r="D85" s="221" t="e">
        <f>VLOOKUP(C85,Уч!$A$2:$L$34,2,FALSE)</f>
        <v>#N/A</v>
      </c>
      <c r="E85" s="222" t="e">
        <f>VLOOKUP(C85,Уч!$A$2:$L$34,3,FALSE)</f>
        <v>#N/A</v>
      </c>
      <c r="F85" s="269" t="e">
        <f>VLOOKUP(C85,Уч!$A$2:$L$34,5,FALSE)</f>
        <v>#N/A</v>
      </c>
      <c r="G85" s="412">
        <f t="shared" si="16"/>
        <v>0</v>
      </c>
      <c r="H85" s="247">
        <f t="shared" si="17"/>
        <v>0</v>
      </c>
    </row>
    <row r="86" spans="3:8" ht="13.8" thickBot="1" x14ac:dyDescent="0.3">
      <c r="C86" s="377"/>
      <c r="D86" s="221" t="e">
        <f>VLOOKUP(C86,Уч!$A$2:$L$34,2,FALSE)</f>
        <v>#N/A</v>
      </c>
      <c r="E86" s="222" t="e">
        <f>VLOOKUP(C86,Уч!$A$2:$L$34,3,FALSE)</f>
        <v>#N/A</v>
      </c>
      <c r="F86" s="269" t="e">
        <f>VLOOKUP(C86,Уч!$A$2:$L$34,5,FALSE)</f>
        <v>#N/A</v>
      </c>
      <c r="G86" s="412">
        <f t="shared" si="16"/>
        <v>0</v>
      </c>
      <c r="H86" s="247">
        <f t="shared" si="17"/>
        <v>0</v>
      </c>
    </row>
    <row r="87" spans="3:8" ht="13.8" thickBot="1" x14ac:dyDescent="0.3">
      <c r="C87" s="377"/>
    </row>
    <row r="88" spans="3:8" ht="13.8" thickBot="1" x14ac:dyDescent="0.3">
      <c r="C88" s="415"/>
    </row>
    <row r="89" spans="3:8" ht="13.8" thickBot="1" x14ac:dyDescent="0.3">
      <c r="C89" s="377"/>
    </row>
    <row r="90" spans="3:8" ht="13.8" thickBot="1" x14ac:dyDescent="0.3">
      <c r="C90" s="377"/>
    </row>
    <row r="91" spans="3:8" ht="13.8" thickBot="1" x14ac:dyDescent="0.3">
      <c r="C91" s="414"/>
    </row>
    <row r="92" spans="3:8" ht="13.8" thickBot="1" x14ac:dyDescent="0.3">
      <c r="C92" s="377"/>
    </row>
    <row r="93" spans="3:8" ht="13.8" thickBot="1" x14ac:dyDescent="0.3">
      <c r="C93" s="377"/>
    </row>
    <row r="94" spans="3:8" ht="13.8" thickBot="1" x14ac:dyDescent="0.3">
      <c r="C94" s="414"/>
    </row>
    <row r="95" spans="3:8" ht="13.8" thickBot="1" x14ac:dyDescent="0.3">
      <c r="C95" s="377"/>
    </row>
    <row r="96" spans="3:8" ht="13.8" thickBot="1" x14ac:dyDescent="0.3">
      <c r="C96" s="377"/>
    </row>
    <row r="97" spans="3:3" ht="13.8" thickBot="1" x14ac:dyDescent="0.3">
      <c r="C97" s="414"/>
    </row>
    <row r="98" spans="3:3" ht="13.8" thickBot="1" x14ac:dyDescent="0.3">
      <c r="C98" s="377"/>
    </row>
    <row r="99" spans="3:3" ht="13.8" thickBot="1" x14ac:dyDescent="0.3">
      <c r="C99" s="413"/>
    </row>
    <row r="100" spans="3:3" ht="13.8" thickBot="1" x14ac:dyDescent="0.3">
      <c r="C100" s="413"/>
    </row>
    <row r="101" spans="3:3" ht="13.8" thickBot="1" x14ac:dyDescent="0.3">
      <c r="C101" s="414"/>
    </row>
    <row r="102" spans="3:3" ht="13.8" thickBot="1" x14ac:dyDescent="0.3">
      <c r="C102" s="377"/>
    </row>
    <row r="103" spans="3:3" ht="13.8" thickBot="1" x14ac:dyDescent="0.3">
      <c r="C103" s="377"/>
    </row>
    <row r="104" spans="3:3" ht="13.8" thickBot="1" x14ac:dyDescent="0.3">
      <c r="C104" s="377"/>
    </row>
    <row r="105" spans="3:3" ht="13.8" thickBot="1" x14ac:dyDescent="0.3">
      <c r="C105" s="377"/>
    </row>
  </sheetData>
  <sortState ref="A17:T26">
    <sortCondition ref="B17:B26"/>
  </sortState>
  <mergeCells count="7">
    <mergeCell ref="B7:H7"/>
    <mergeCell ref="B3:H3"/>
    <mergeCell ref="B1:H1"/>
    <mergeCell ref="B2:H2"/>
    <mergeCell ref="B4:H4"/>
    <mergeCell ref="B5:H5"/>
    <mergeCell ref="B6:H6"/>
  </mergeCells>
  <phoneticPr fontId="0" type="noConversion"/>
  <printOptions horizontalCentere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  <colBreaks count="1" manualBreakCount="1">
    <brk id="8" max="1048575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L33"/>
  <sheetViews>
    <sheetView workbookViewId="0">
      <selection activeCell="B56" sqref="B56:B58"/>
    </sheetView>
  </sheetViews>
  <sheetFormatPr defaultColWidth="34.109375" defaultRowHeight="13.2" x14ac:dyDescent="0.25"/>
  <cols>
    <col min="1" max="1" width="6.109375" style="45" customWidth="1"/>
    <col min="2" max="2" width="22.44140625" style="32" bestFit="1" customWidth="1"/>
    <col min="3" max="3" width="9.88671875" style="32" customWidth="1"/>
    <col min="4" max="4" width="7.88671875" style="32" customWidth="1"/>
    <col min="5" max="5" width="28" style="32" bestFit="1" customWidth="1"/>
    <col min="6" max="6" width="5.6640625" style="6" bestFit="1" customWidth="1"/>
    <col min="7" max="7" width="43" style="32" bestFit="1" customWidth="1"/>
    <col min="8" max="8" width="11.109375" style="32" customWidth="1"/>
    <col min="9" max="9" width="13.44140625" style="32" bestFit="1" customWidth="1"/>
    <col min="10" max="10" width="32.33203125" style="32" bestFit="1" customWidth="1"/>
    <col min="11" max="11" width="30.6640625" style="32" bestFit="1" customWidth="1"/>
    <col min="12" max="12" width="27.109375" style="32" bestFit="1" customWidth="1"/>
    <col min="13" max="16384" width="34.109375" style="32"/>
  </cols>
  <sheetData>
    <row r="1" spans="1:12" s="44" customFormat="1" ht="27" thickBot="1" x14ac:dyDescent="0.3">
      <c r="A1" s="143" t="s">
        <v>6</v>
      </c>
      <c r="B1" s="106" t="s">
        <v>4</v>
      </c>
      <c r="C1" s="106" t="s">
        <v>5</v>
      </c>
      <c r="D1" s="106" t="s">
        <v>1</v>
      </c>
      <c r="E1" s="106" t="s">
        <v>8</v>
      </c>
      <c r="F1" s="105" t="s">
        <v>211</v>
      </c>
      <c r="G1" s="106" t="s">
        <v>9</v>
      </c>
      <c r="H1" s="106" t="s">
        <v>3</v>
      </c>
      <c r="J1" s="106" t="s">
        <v>7</v>
      </c>
      <c r="K1" s="106" t="s">
        <v>2</v>
      </c>
      <c r="L1" s="106" t="s">
        <v>2</v>
      </c>
    </row>
    <row r="2" spans="1:12" x14ac:dyDescent="0.25">
      <c r="A2" s="12"/>
      <c r="B2" s="138" t="s">
        <v>122</v>
      </c>
      <c r="C2" s="23">
        <v>32668</v>
      </c>
      <c r="D2" s="121" t="s">
        <v>61</v>
      </c>
      <c r="E2" s="122" t="s">
        <v>146</v>
      </c>
      <c r="F2" s="12">
        <v>4</v>
      </c>
      <c r="G2" s="121" t="s">
        <v>152</v>
      </c>
      <c r="H2" s="117" t="s">
        <v>68</v>
      </c>
      <c r="I2" s="117"/>
      <c r="K2" s="13" t="s">
        <v>157</v>
      </c>
      <c r="L2" s="121" t="s">
        <v>156</v>
      </c>
    </row>
    <row r="3" spans="1:12" x14ac:dyDescent="0.25">
      <c r="A3" s="12"/>
      <c r="B3" s="137" t="s">
        <v>167</v>
      </c>
      <c r="C3" s="119">
        <v>33612</v>
      </c>
      <c r="D3" s="117" t="s">
        <v>60</v>
      </c>
      <c r="E3" s="122" t="s">
        <v>146</v>
      </c>
      <c r="F3" s="59">
        <v>4</v>
      </c>
      <c r="G3" s="121" t="s">
        <v>168</v>
      </c>
      <c r="H3" s="117" t="s">
        <v>68</v>
      </c>
      <c r="I3" s="117" t="s">
        <v>68</v>
      </c>
      <c r="K3" s="13" t="s">
        <v>212</v>
      </c>
      <c r="L3" s="13" t="s">
        <v>103</v>
      </c>
    </row>
    <row r="4" spans="1:12" x14ac:dyDescent="0.25">
      <c r="A4" s="99"/>
      <c r="B4" s="142" t="s">
        <v>169</v>
      </c>
      <c r="C4" s="123">
        <v>33010</v>
      </c>
      <c r="D4" s="124" t="s">
        <v>60</v>
      </c>
      <c r="E4" s="122" t="s">
        <v>146</v>
      </c>
      <c r="F4" s="12">
        <v>4</v>
      </c>
      <c r="G4" s="120" t="s">
        <v>170</v>
      </c>
      <c r="H4" s="117" t="s">
        <v>68</v>
      </c>
      <c r="I4" s="117" t="s">
        <v>68</v>
      </c>
      <c r="K4" s="122" t="s">
        <v>213</v>
      </c>
      <c r="L4" s="122" t="s">
        <v>68</v>
      </c>
    </row>
    <row r="5" spans="1:12" x14ac:dyDescent="0.25">
      <c r="A5" s="12"/>
      <c r="B5" s="138" t="s">
        <v>142</v>
      </c>
      <c r="C5" s="23">
        <v>32178</v>
      </c>
      <c r="D5" s="121" t="s">
        <v>62</v>
      </c>
      <c r="E5" s="121" t="s">
        <v>188</v>
      </c>
      <c r="F5" s="130">
        <v>5</v>
      </c>
      <c r="G5" s="121" t="s">
        <v>168</v>
      </c>
      <c r="H5" s="117" t="s">
        <v>68</v>
      </c>
      <c r="I5" s="117" t="s">
        <v>68</v>
      </c>
      <c r="K5" s="13" t="s">
        <v>161</v>
      </c>
      <c r="L5" s="121" t="s">
        <v>68</v>
      </c>
    </row>
    <row r="6" spans="1:12" x14ac:dyDescent="0.25">
      <c r="A6" s="12"/>
      <c r="B6" s="138" t="s">
        <v>95</v>
      </c>
      <c r="C6" s="23">
        <v>33551</v>
      </c>
      <c r="D6" s="121" t="s">
        <v>60</v>
      </c>
      <c r="E6" s="121" t="s">
        <v>171</v>
      </c>
      <c r="F6" s="12">
        <v>5</v>
      </c>
      <c r="G6" s="121" t="s">
        <v>168</v>
      </c>
      <c r="H6" s="117" t="s">
        <v>68</v>
      </c>
      <c r="I6" s="117" t="s">
        <v>68</v>
      </c>
      <c r="K6" s="13" t="s">
        <v>155</v>
      </c>
      <c r="L6" s="121" t="s">
        <v>156</v>
      </c>
    </row>
    <row r="7" spans="1:12" x14ac:dyDescent="0.25">
      <c r="A7" s="12"/>
      <c r="B7" s="138" t="s">
        <v>189</v>
      </c>
      <c r="C7" s="23">
        <v>34709</v>
      </c>
      <c r="D7" s="121" t="s">
        <v>60</v>
      </c>
      <c r="E7" s="121" t="s">
        <v>190</v>
      </c>
      <c r="F7" s="12">
        <v>6</v>
      </c>
      <c r="G7" s="121" t="s">
        <v>191</v>
      </c>
      <c r="H7" s="117" t="s">
        <v>68</v>
      </c>
      <c r="I7" s="117" t="s">
        <v>68</v>
      </c>
      <c r="K7" s="13" t="s">
        <v>225</v>
      </c>
      <c r="L7" s="121" t="s">
        <v>236</v>
      </c>
    </row>
    <row r="8" spans="1:12" x14ac:dyDescent="0.25">
      <c r="A8" s="99"/>
      <c r="B8" s="137" t="s">
        <v>143</v>
      </c>
      <c r="C8" s="136">
        <v>31555</v>
      </c>
      <c r="D8" s="116" t="s">
        <v>62</v>
      </c>
      <c r="E8" s="116" t="s">
        <v>90</v>
      </c>
      <c r="F8" s="130">
        <v>6</v>
      </c>
      <c r="G8" s="116" t="s">
        <v>187</v>
      </c>
      <c r="H8" s="117" t="s">
        <v>68</v>
      </c>
      <c r="I8" s="117" t="s">
        <v>68</v>
      </c>
      <c r="K8" s="116" t="s">
        <v>224</v>
      </c>
      <c r="L8" s="122" t="s">
        <v>68</v>
      </c>
    </row>
    <row r="9" spans="1:12" x14ac:dyDescent="0.25">
      <c r="A9" s="12"/>
      <c r="B9" s="138" t="s">
        <v>124</v>
      </c>
      <c r="C9" s="23">
        <v>33932</v>
      </c>
      <c r="D9" s="121" t="s">
        <v>60</v>
      </c>
      <c r="E9" s="121" t="s">
        <v>125</v>
      </c>
      <c r="F9" s="12">
        <v>6</v>
      </c>
      <c r="G9" s="121" t="s">
        <v>172</v>
      </c>
      <c r="H9" s="117" t="s">
        <v>68</v>
      </c>
      <c r="I9" s="117" t="s">
        <v>68</v>
      </c>
      <c r="K9" s="13" t="s">
        <v>214</v>
      </c>
      <c r="L9" s="121" t="s">
        <v>215</v>
      </c>
    </row>
    <row r="10" spans="1:12" x14ac:dyDescent="0.25">
      <c r="A10" s="12"/>
      <c r="B10" s="138" t="s">
        <v>141</v>
      </c>
      <c r="C10" s="23">
        <v>34629</v>
      </c>
      <c r="D10" s="121" t="s">
        <v>60</v>
      </c>
      <c r="E10" s="121" t="s">
        <v>192</v>
      </c>
      <c r="F10" s="12">
        <v>7</v>
      </c>
      <c r="G10" s="121" t="s">
        <v>193</v>
      </c>
      <c r="H10" s="117" t="s">
        <v>68</v>
      </c>
      <c r="I10" s="117" t="s">
        <v>68</v>
      </c>
      <c r="K10" s="13" t="s">
        <v>153</v>
      </c>
      <c r="L10" s="121" t="s">
        <v>226</v>
      </c>
    </row>
    <row r="11" spans="1:12" x14ac:dyDescent="0.25">
      <c r="A11" s="12"/>
      <c r="B11" s="138" t="s">
        <v>189</v>
      </c>
      <c r="C11" s="23">
        <v>34709</v>
      </c>
      <c r="D11" s="121" t="s">
        <v>60</v>
      </c>
      <c r="E11" s="121" t="s">
        <v>190</v>
      </c>
      <c r="F11" s="12">
        <v>8</v>
      </c>
      <c r="G11" s="121" t="s">
        <v>191</v>
      </c>
      <c r="H11" s="117" t="s">
        <v>68</v>
      </c>
      <c r="I11" s="117" t="s">
        <v>68</v>
      </c>
      <c r="K11" s="13" t="s">
        <v>225</v>
      </c>
      <c r="L11" s="121" t="s">
        <v>236</v>
      </c>
    </row>
    <row r="12" spans="1:12" x14ac:dyDescent="0.25">
      <c r="A12" s="99"/>
      <c r="B12" s="142" t="s">
        <v>173</v>
      </c>
      <c r="C12" s="123">
        <v>34252</v>
      </c>
      <c r="D12" s="124" t="s">
        <v>60</v>
      </c>
      <c r="E12" s="122" t="s">
        <v>174</v>
      </c>
      <c r="F12" s="99">
        <v>8</v>
      </c>
      <c r="G12" s="122" t="s">
        <v>175</v>
      </c>
      <c r="H12" s="117" t="s">
        <v>68</v>
      </c>
      <c r="I12" s="117" t="s">
        <v>68</v>
      </c>
      <c r="K12" s="122" t="s">
        <v>216</v>
      </c>
      <c r="L12" s="122" t="s">
        <v>68</v>
      </c>
    </row>
    <row r="13" spans="1:12" x14ac:dyDescent="0.25">
      <c r="A13" s="99"/>
      <c r="B13" s="142" t="s">
        <v>235</v>
      </c>
      <c r="C13" s="123">
        <v>34017</v>
      </c>
      <c r="D13" s="124" t="s">
        <v>61</v>
      </c>
      <c r="E13" s="122" t="s">
        <v>174</v>
      </c>
      <c r="F13" s="99">
        <v>8</v>
      </c>
      <c r="G13" s="122" t="s">
        <v>175</v>
      </c>
      <c r="H13" s="117" t="s">
        <v>68</v>
      </c>
      <c r="I13" s="117" t="s">
        <v>68</v>
      </c>
      <c r="K13" s="122" t="s">
        <v>216</v>
      </c>
      <c r="L13" s="122" t="s">
        <v>68</v>
      </c>
    </row>
    <row r="14" spans="1:12" x14ac:dyDescent="0.25">
      <c r="A14" s="99"/>
      <c r="B14" s="142" t="s">
        <v>237</v>
      </c>
      <c r="C14" s="123">
        <v>35521</v>
      </c>
      <c r="D14" s="124" t="s">
        <v>61</v>
      </c>
      <c r="E14" s="122" t="s">
        <v>174</v>
      </c>
      <c r="F14" s="99">
        <v>8</v>
      </c>
      <c r="G14" s="122" t="s">
        <v>175</v>
      </c>
      <c r="H14" s="117" t="s">
        <v>68</v>
      </c>
      <c r="I14" s="117"/>
      <c r="J14" s="36"/>
      <c r="K14" s="122" t="s">
        <v>216</v>
      </c>
      <c r="L14" s="122" t="s">
        <v>68</v>
      </c>
    </row>
    <row r="15" spans="1:12" x14ac:dyDescent="0.25">
      <c r="A15" s="99"/>
      <c r="B15" s="141" t="s">
        <v>176</v>
      </c>
      <c r="C15" s="135">
        <v>34834</v>
      </c>
      <c r="D15" s="116" t="s">
        <v>61</v>
      </c>
      <c r="E15" s="124" t="s">
        <v>148</v>
      </c>
      <c r="F15" s="128">
        <v>9</v>
      </c>
      <c r="G15" s="124" t="s">
        <v>177</v>
      </c>
      <c r="H15" s="117" t="s">
        <v>68</v>
      </c>
      <c r="I15" s="117" t="s">
        <v>68</v>
      </c>
      <c r="K15" s="122" t="s">
        <v>217</v>
      </c>
      <c r="L15" s="124" t="s">
        <v>218</v>
      </c>
    </row>
    <row r="16" spans="1:12" x14ac:dyDescent="0.25">
      <c r="A16" s="99"/>
      <c r="B16" s="131" t="s">
        <v>102</v>
      </c>
      <c r="C16" s="144">
        <v>34097</v>
      </c>
      <c r="D16" s="125" t="s">
        <v>60</v>
      </c>
      <c r="E16" s="131" t="s">
        <v>149</v>
      </c>
      <c r="F16" s="101">
        <v>9</v>
      </c>
      <c r="G16" s="131" t="s">
        <v>178</v>
      </c>
      <c r="H16" s="117" t="s">
        <v>68</v>
      </c>
      <c r="I16" s="117" t="s">
        <v>68</v>
      </c>
      <c r="K16" s="132" t="s">
        <v>158</v>
      </c>
      <c r="L16" s="131" t="s">
        <v>159</v>
      </c>
    </row>
    <row r="17" spans="1:12" x14ac:dyDescent="0.25">
      <c r="A17" s="12"/>
      <c r="B17" s="140" t="s">
        <v>179</v>
      </c>
      <c r="C17" s="134">
        <v>34957</v>
      </c>
      <c r="D17" s="126" t="s">
        <v>61</v>
      </c>
      <c r="E17" s="127" t="s">
        <v>180</v>
      </c>
      <c r="F17" s="129">
        <v>11</v>
      </c>
      <c r="G17" s="117" t="s">
        <v>181</v>
      </c>
      <c r="H17" s="117" t="s">
        <v>68</v>
      </c>
      <c r="I17" s="117" t="s">
        <v>68</v>
      </c>
      <c r="K17" s="126" t="s">
        <v>219</v>
      </c>
      <c r="L17" s="121" t="s">
        <v>220</v>
      </c>
    </row>
    <row r="18" spans="1:12" x14ac:dyDescent="0.25">
      <c r="A18" s="99"/>
      <c r="B18" s="139" t="s">
        <v>182</v>
      </c>
      <c r="C18" s="123">
        <v>34349</v>
      </c>
      <c r="D18" s="125" t="s">
        <v>61</v>
      </c>
      <c r="E18" s="124" t="s">
        <v>150</v>
      </c>
      <c r="F18" s="99">
        <v>11</v>
      </c>
      <c r="G18" s="124" t="s">
        <v>178</v>
      </c>
      <c r="H18" s="117" t="s">
        <v>68</v>
      </c>
      <c r="I18" s="117" t="s">
        <v>68</v>
      </c>
      <c r="K18" s="122" t="s">
        <v>221</v>
      </c>
      <c r="L18" s="124" t="s">
        <v>218</v>
      </c>
    </row>
    <row r="19" spans="1:12" x14ac:dyDescent="0.25">
      <c r="A19" s="12"/>
      <c r="B19" s="138" t="s">
        <v>141</v>
      </c>
      <c r="C19" s="23">
        <v>34629</v>
      </c>
      <c r="D19" s="121" t="s">
        <v>60</v>
      </c>
      <c r="E19" s="121" t="s">
        <v>192</v>
      </c>
      <c r="F19" s="12">
        <v>11</v>
      </c>
      <c r="G19" s="121" t="s">
        <v>193</v>
      </c>
      <c r="H19" s="117" t="s">
        <v>68</v>
      </c>
      <c r="I19" s="117" t="s">
        <v>68</v>
      </c>
      <c r="K19" s="13" t="s">
        <v>153</v>
      </c>
      <c r="L19" s="121" t="s">
        <v>226</v>
      </c>
    </row>
    <row r="20" spans="1:12" x14ac:dyDescent="0.25">
      <c r="A20" s="12"/>
      <c r="B20" s="138" t="s">
        <v>123</v>
      </c>
      <c r="C20" s="23">
        <v>32237</v>
      </c>
      <c r="D20" s="121" t="s">
        <v>60</v>
      </c>
      <c r="E20" s="121" t="s">
        <v>183</v>
      </c>
      <c r="F20" s="12">
        <v>12</v>
      </c>
      <c r="G20" s="121" t="s">
        <v>184</v>
      </c>
      <c r="H20" s="117" t="s">
        <v>68</v>
      </c>
      <c r="I20" s="117" t="s">
        <v>68</v>
      </c>
      <c r="K20" s="13" t="s">
        <v>160</v>
      </c>
      <c r="L20" s="121" t="s">
        <v>68</v>
      </c>
    </row>
    <row r="21" spans="1:12" x14ac:dyDescent="0.25">
      <c r="A21" s="99"/>
      <c r="B21" s="137" t="s">
        <v>143</v>
      </c>
      <c r="C21" s="136">
        <v>31555</v>
      </c>
      <c r="D21" s="116" t="s">
        <v>62</v>
      </c>
      <c r="E21" s="116" t="s">
        <v>90</v>
      </c>
      <c r="F21" s="130">
        <v>13</v>
      </c>
      <c r="G21" s="116" t="s">
        <v>187</v>
      </c>
      <c r="H21" s="117" t="s">
        <v>68</v>
      </c>
      <c r="I21" s="117" t="s">
        <v>68</v>
      </c>
      <c r="K21" s="116" t="s">
        <v>224</v>
      </c>
      <c r="L21" s="122" t="s">
        <v>68</v>
      </c>
    </row>
    <row r="22" spans="1:12" x14ac:dyDescent="0.25">
      <c r="A22" s="99"/>
      <c r="B22" s="139" t="s">
        <v>144</v>
      </c>
      <c r="C22" s="123">
        <v>34467</v>
      </c>
      <c r="D22" s="124" t="s">
        <v>61</v>
      </c>
      <c r="E22" s="124" t="s">
        <v>151</v>
      </c>
      <c r="F22" s="99">
        <v>15</v>
      </c>
      <c r="G22" s="124" t="s">
        <v>100</v>
      </c>
      <c r="H22" s="117" t="s">
        <v>68</v>
      </c>
      <c r="I22" s="117" t="s">
        <v>68</v>
      </c>
      <c r="K22" s="122" t="s">
        <v>161</v>
      </c>
      <c r="L22" s="124" t="s">
        <v>222</v>
      </c>
    </row>
    <row r="23" spans="1:12" x14ac:dyDescent="0.25">
      <c r="A23" s="12"/>
      <c r="B23" s="138" t="s">
        <v>142</v>
      </c>
      <c r="C23" s="23">
        <v>32178</v>
      </c>
      <c r="D23" s="121" t="s">
        <v>62</v>
      </c>
      <c r="E23" s="121" t="s">
        <v>188</v>
      </c>
      <c r="F23" s="130">
        <v>15</v>
      </c>
      <c r="G23" s="121" t="s">
        <v>168</v>
      </c>
      <c r="H23" s="117" t="s">
        <v>68</v>
      </c>
      <c r="I23" s="117" t="s">
        <v>68</v>
      </c>
      <c r="K23" s="13" t="s">
        <v>161</v>
      </c>
      <c r="L23" s="121" t="s">
        <v>68</v>
      </c>
    </row>
    <row r="24" spans="1:12" x14ac:dyDescent="0.25">
      <c r="A24" s="12"/>
      <c r="B24" s="138" t="s">
        <v>185</v>
      </c>
      <c r="C24" s="23">
        <v>33610</v>
      </c>
      <c r="D24" s="121" t="s">
        <v>61</v>
      </c>
      <c r="E24" s="121" t="s">
        <v>147</v>
      </c>
      <c r="F24" s="12">
        <v>16</v>
      </c>
      <c r="G24" s="121" t="s">
        <v>186</v>
      </c>
      <c r="H24" s="117" t="s">
        <v>68</v>
      </c>
      <c r="I24" s="117" t="s">
        <v>68</v>
      </c>
      <c r="K24" s="13" t="s">
        <v>223</v>
      </c>
      <c r="L24" s="121" t="s">
        <v>68</v>
      </c>
    </row>
    <row r="25" spans="1:12" x14ac:dyDescent="0.25">
      <c r="A25" s="12"/>
      <c r="B25" s="137" t="s">
        <v>194</v>
      </c>
      <c r="C25" s="133">
        <v>34392</v>
      </c>
      <c r="D25" s="117" t="s">
        <v>61</v>
      </c>
      <c r="E25" s="118" t="s">
        <v>195</v>
      </c>
      <c r="F25" s="100" t="s">
        <v>166</v>
      </c>
      <c r="G25" s="117" t="s">
        <v>196</v>
      </c>
      <c r="H25" s="117" t="s">
        <v>68</v>
      </c>
      <c r="I25" s="117" t="s">
        <v>68</v>
      </c>
      <c r="K25" s="118" t="s">
        <v>227</v>
      </c>
      <c r="L25" s="13" t="s">
        <v>68</v>
      </c>
    </row>
    <row r="26" spans="1:12" x14ac:dyDescent="0.25">
      <c r="A26" s="99"/>
      <c r="B26" s="139" t="s">
        <v>93</v>
      </c>
      <c r="C26" s="123">
        <v>32808</v>
      </c>
      <c r="D26" s="124" t="s">
        <v>62</v>
      </c>
      <c r="E26" s="124" t="s">
        <v>197</v>
      </c>
      <c r="F26" s="99" t="s">
        <v>166</v>
      </c>
      <c r="G26" s="124" t="s">
        <v>198</v>
      </c>
      <c r="H26" s="117" t="s">
        <v>68</v>
      </c>
      <c r="I26" s="117" t="s">
        <v>68</v>
      </c>
      <c r="K26" s="122" t="s">
        <v>228</v>
      </c>
      <c r="L26" s="124" t="s">
        <v>218</v>
      </c>
    </row>
    <row r="27" spans="1:12" x14ac:dyDescent="0.25">
      <c r="A27" s="12"/>
      <c r="B27" s="138" t="s">
        <v>199</v>
      </c>
      <c r="C27" s="23">
        <v>33247</v>
      </c>
      <c r="D27" s="121" t="s">
        <v>60</v>
      </c>
      <c r="E27" s="121" t="s">
        <v>89</v>
      </c>
      <c r="F27" s="12" t="s">
        <v>166</v>
      </c>
      <c r="G27" s="121" t="s">
        <v>200</v>
      </c>
      <c r="H27" s="117" t="s">
        <v>68</v>
      </c>
      <c r="I27" s="117" t="s">
        <v>68</v>
      </c>
      <c r="K27" s="13" t="s">
        <v>229</v>
      </c>
      <c r="L27" s="121" t="s">
        <v>68</v>
      </c>
    </row>
    <row r="28" spans="1:12" x14ac:dyDescent="0.25">
      <c r="A28" s="12"/>
      <c r="B28" s="138" t="s">
        <v>201</v>
      </c>
      <c r="C28" s="23">
        <v>34914</v>
      </c>
      <c r="D28" s="121" t="s">
        <v>60</v>
      </c>
      <c r="E28" s="121" t="s">
        <v>202</v>
      </c>
      <c r="F28" s="12" t="s">
        <v>166</v>
      </c>
      <c r="G28" s="121" t="s">
        <v>203</v>
      </c>
      <c r="H28" s="117" t="s">
        <v>68</v>
      </c>
      <c r="I28" s="117" t="s">
        <v>68</v>
      </c>
      <c r="K28" s="13" t="s">
        <v>230</v>
      </c>
      <c r="L28" s="121" t="s">
        <v>68</v>
      </c>
    </row>
    <row r="29" spans="1:12" x14ac:dyDescent="0.25">
      <c r="A29" s="12"/>
      <c r="B29" s="138" t="s">
        <v>145</v>
      </c>
      <c r="C29" s="23">
        <v>32148</v>
      </c>
      <c r="D29" s="121" t="s">
        <v>60</v>
      </c>
      <c r="E29" s="121" t="s">
        <v>121</v>
      </c>
      <c r="F29" s="12" t="s">
        <v>166</v>
      </c>
      <c r="G29" s="121" t="s">
        <v>92</v>
      </c>
      <c r="H29" s="117" t="s">
        <v>68</v>
      </c>
      <c r="I29" s="117" t="s">
        <v>68</v>
      </c>
      <c r="K29" s="13" t="s">
        <v>231</v>
      </c>
      <c r="L29" s="121" t="s">
        <v>68</v>
      </c>
    </row>
    <row r="30" spans="1:12" x14ac:dyDescent="0.25">
      <c r="A30" s="99"/>
      <c r="B30" s="124" t="s">
        <v>204</v>
      </c>
      <c r="C30" s="123">
        <v>34944</v>
      </c>
      <c r="D30" s="124" t="s">
        <v>61</v>
      </c>
      <c r="E30" s="124" t="s">
        <v>205</v>
      </c>
      <c r="F30" s="99" t="s">
        <v>166</v>
      </c>
      <c r="G30" s="125" t="s">
        <v>206</v>
      </c>
      <c r="H30" s="117" t="s">
        <v>68</v>
      </c>
      <c r="I30" s="117" t="s">
        <v>68</v>
      </c>
      <c r="J30" s="121"/>
      <c r="K30" s="122" t="s">
        <v>232</v>
      </c>
      <c r="L30" s="124" t="s">
        <v>68</v>
      </c>
    </row>
    <row r="31" spans="1:12" x14ac:dyDescent="0.25">
      <c r="A31" s="99"/>
      <c r="B31" s="142" t="s">
        <v>207</v>
      </c>
      <c r="C31" s="123">
        <v>34415</v>
      </c>
      <c r="D31" s="124" t="s">
        <v>61</v>
      </c>
      <c r="E31" s="122" t="s">
        <v>174</v>
      </c>
      <c r="F31" s="99" t="s">
        <v>166</v>
      </c>
      <c r="G31" s="122" t="s">
        <v>175</v>
      </c>
      <c r="H31" s="36" t="s">
        <v>68</v>
      </c>
      <c r="I31" s="36" t="s">
        <v>68</v>
      </c>
      <c r="K31" s="122" t="s">
        <v>216</v>
      </c>
      <c r="L31" s="122" t="s">
        <v>68</v>
      </c>
    </row>
    <row r="32" spans="1:12" x14ac:dyDescent="0.25">
      <c r="A32" s="12"/>
      <c r="B32" s="138" t="s">
        <v>94</v>
      </c>
      <c r="C32" s="23">
        <v>33166</v>
      </c>
      <c r="D32" s="121" t="s">
        <v>60</v>
      </c>
      <c r="E32" s="121" t="s">
        <v>208</v>
      </c>
      <c r="F32" s="12" t="s">
        <v>166</v>
      </c>
      <c r="G32" s="121" t="s">
        <v>209</v>
      </c>
      <c r="K32" s="13" t="s">
        <v>154</v>
      </c>
      <c r="L32" s="121" t="s">
        <v>233</v>
      </c>
    </row>
    <row r="33" spans="1:12" x14ac:dyDescent="0.25">
      <c r="A33" s="12"/>
      <c r="B33" s="138" t="s">
        <v>91</v>
      </c>
      <c r="C33" s="23">
        <v>32948</v>
      </c>
      <c r="D33" s="121" t="s">
        <v>60</v>
      </c>
      <c r="E33" s="121" t="s">
        <v>89</v>
      </c>
      <c r="F33" s="12" t="s">
        <v>166</v>
      </c>
      <c r="G33" s="116" t="s">
        <v>210</v>
      </c>
      <c r="K33" s="13" t="s">
        <v>234</v>
      </c>
      <c r="L33" s="121" t="s">
        <v>68</v>
      </c>
    </row>
  </sheetData>
  <autoFilter ref="A1:L33"/>
  <sortState ref="A2:L33">
    <sortCondition ref="F2:F33"/>
  </sortState>
  <pageMargins left="0.75" right="0.75" top="1" bottom="1" header="0.5" footer="0.5"/>
  <pageSetup paperSize="9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8"/>
  <sheetViews>
    <sheetView view="pageBreakPreview" zoomScale="70" zoomScaleSheetLayoutView="70" workbookViewId="0">
      <selection activeCell="B56" sqref="B56:B58"/>
    </sheetView>
  </sheetViews>
  <sheetFormatPr defaultColWidth="9.109375" defaultRowHeight="13.2" outlineLevelCol="1" x14ac:dyDescent="0.25"/>
  <cols>
    <col min="1" max="1" width="4.88671875" style="41" customWidth="1"/>
    <col min="2" max="2" width="8.44140625" style="603" customWidth="1"/>
    <col min="3" max="3" width="46.77734375" style="41" customWidth="1"/>
    <col min="4" max="4" width="10.21875" style="250" customWidth="1"/>
    <col min="5" max="5" width="7.21875" style="41" customWidth="1"/>
    <col min="6" max="6" width="5.77734375" style="41" customWidth="1"/>
    <col min="7" max="7" width="6.109375" style="603" customWidth="1"/>
    <col min="8" max="8" width="6.21875" style="603" customWidth="1"/>
    <col min="9" max="9" width="6.21875" style="41" customWidth="1"/>
    <col min="10" max="10" width="6.6640625" style="41" customWidth="1"/>
    <col min="11" max="11" width="9.6640625" style="603" customWidth="1" outlineLevel="1"/>
    <col min="12" max="12" width="6.109375" style="603" customWidth="1" outlineLevel="1"/>
    <col min="13" max="13" width="6.6640625" style="603" customWidth="1" outlineLevel="1"/>
    <col min="14" max="14" width="6" style="603" customWidth="1" outlineLevel="1"/>
    <col min="15" max="15" width="6.33203125" style="603" customWidth="1" outlineLevel="1"/>
    <col min="16" max="16" width="5.6640625" style="149" customWidth="1"/>
    <col min="17" max="17" width="5.21875" style="149" customWidth="1"/>
    <col min="18" max="18" width="9.44140625" style="149" customWidth="1"/>
    <col min="19" max="19" width="5.21875" style="149" bestFit="1" customWidth="1"/>
    <col min="20" max="20" width="4.109375" style="149" customWidth="1"/>
    <col min="21" max="21" width="2.109375" style="149" bestFit="1" customWidth="1"/>
    <col min="22" max="22" width="5.44140625" style="149" bestFit="1" customWidth="1"/>
    <col min="23" max="23" width="8" style="41" customWidth="1" outlineLevel="1"/>
    <col min="24" max="24" width="8.44140625" style="41" customWidth="1" outlineLevel="1"/>
    <col min="25" max="25" width="5.6640625" style="41" customWidth="1" outlineLevel="1"/>
    <col min="26" max="26" width="8" style="41" customWidth="1" outlineLevel="1"/>
    <col min="27" max="27" width="5.6640625" style="41" customWidth="1" outlineLevel="1"/>
    <col min="28" max="28" width="6" style="41" customWidth="1" outlineLevel="1"/>
    <col min="29" max="29" width="5" style="41" customWidth="1" outlineLevel="1"/>
    <col min="30" max="30" width="6" style="41" customWidth="1" outlineLevel="1"/>
    <col min="31" max="31" width="6.88671875" style="41" customWidth="1" outlineLevel="1"/>
    <col min="32" max="32" width="5.109375" style="41" customWidth="1" outlineLevel="1"/>
    <col min="33" max="33" width="5.109375" style="41" bestFit="1" customWidth="1"/>
    <col min="34" max="34" width="10.33203125" style="603" bestFit="1" customWidth="1"/>
    <col min="35" max="35" width="6.5546875" style="603" bestFit="1" customWidth="1"/>
    <col min="36" max="36" width="4.6640625" style="41" bestFit="1" customWidth="1"/>
    <col min="37" max="37" width="4.88671875" style="603" bestFit="1" customWidth="1"/>
    <col min="38" max="38" width="5.109375" style="41" bestFit="1" customWidth="1"/>
    <col min="39" max="41" width="3.109375" style="41" bestFit="1" customWidth="1"/>
    <col min="42" max="16384" width="9.109375" style="41"/>
  </cols>
  <sheetData>
    <row r="1" spans="1:51" ht="13.2" customHeight="1" x14ac:dyDescent="0.25">
      <c r="A1" s="803" t="str">
        <f>Расп!$A$21</f>
        <v>МИНИСТЕРСТВО СПОРТА РОССИЙСКОЙ ФЕДЕРАЦИИ</v>
      </c>
      <c r="B1" s="803"/>
      <c r="C1" s="803"/>
      <c r="D1" s="803"/>
      <c r="E1" s="803"/>
      <c r="F1" s="803"/>
      <c r="G1" s="803"/>
      <c r="H1" s="803"/>
      <c r="I1" s="803"/>
      <c r="J1" s="803"/>
      <c r="K1" s="803"/>
      <c r="L1" s="803"/>
      <c r="M1" s="803"/>
      <c r="N1" s="803"/>
      <c r="O1" s="803"/>
      <c r="P1" s="803"/>
      <c r="Q1" s="803"/>
      <c r="R1" s="803"/>
      <c r="W1" s="145"/>
      <c r="X1" s="250" t="s">
        <v>29</v>
      </c>
      <c r="Y1" s="419">
        <v>0</v>
      </c>
      <c r="Z1" s="419"/>
      <c r="AA1" s="419"/>
      <c r="AB1" s="419"/>
      <c r="AC1" s="320">
        <v>3800</v>
      </c>
      <c r="AD1" s="320">
        <v>4600</v>
      </c>
      <c r="AE1" s="420">
        <v>5400</v>
      </c>
      <c r="AF1" s="420">
        <v>6200</v>
      </c>
      <c r="AG1" s="320">
        <v>7100</v>
      </c>
      <c r="AH1" s="320">
        <v>8150</v>
      </c>
      <c r="AI1" s="206"/>
      <c r="AJ1" s="421" t="s">
        <v>129</v>
      </c>
      <c r="AK1" s="422" t="s">
        <v>136</v>
      </c>
      <c r="AL1" s="421">
        <v>5500</v>
      </c>
      <c r="AM1" s="206"/>
      <c r="AN1" s="206"/>
    </row>
    <row r="2" spans="1:51" ht="13.2" customHeight="1" x14ac:dyDescent="0.25">
      <c r="A2" s="803" t="str">
        <f>Расп!$A$22</f>
        <v>ВСЕРОССИЙСКАЯ ФЕДЕРАЦИЯ ЛЕГКОЙ АТЛЕТИКИ</v>
      </c>
      <c r="B2" s="803"/>
      <c r="C2" s="803"/>
      <c r="D2" s="803"/>
      <c r="E2" s="803"/>
      <c r="F2" s="803"/>
      <c r="G2" s="803"/>
      <c r="H2" s="803"/>
      <c r="I2" s="803"/>
      <c r="J2" s="803"/>
      <c r="K2" s="803"/>
      <c r="L2" s="803"/>
      <c r="M2" s="803"/>
      <c r="N2" s="803"/>
      <c r="O2" s="803"/>
      <c r="P2" s="803"/>
      <c r="Q2" s="803"/>
      <c r="R2" s="803"/>
      <c r="W2" s="145"/>
      <c r="X2" s="250" t="s">
        <v>1</v>
      </c>
      <c r="Y2" s="423" t="s">
        <v>66</v>
      </c>
      <c r="Z2" s="206" t="s">
        <v>130</v>
      </c>
      <c r="AA2" s="206" t="s">
        <v>131</v>
      </c>
      <c r="AB2" s="206" t="s">
        <v>132</v>
      </c>
      <c r="AC2" s="424">
        <v>3</v>
      </c>
      <c r="AD2" s="419">
        <v>2</v>
      </c>
      <c r="AE2" s="419">
        <v>1</v>
      </c>
      <c r="AF2" s="425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1" ht="13.2" customHeight="1" x14ac:dyDescent="0.25">
      <c r="A3" s="803" t="str">
        <f>Расп!$A$25</f>
        <v>Командный чемпионат России</v>
      </c>
      <c r="B3" s="803"/>
      <c r="C3" s="803"/>
      <c r="D3" s="803"/>
      <c r="E3" s="803"/>
      <c r="F3" s="803"/>
      <c r="G3" s="803"/>
      <c r="H3" s="803"/>
      <c r="I3" s="803"/>
      <c r="J3" s="803"/>
      <c r="K3" s="803"/>
      <c r="L3" s="803"/>
      <c r="M3" s="803"/>
      <c r="N3" s="803"/>
      <c r="O3" s="803"/>
      <c r="P3" s="803"/>
      <c r="Q3" s="803"/>
      <c r="R3" s="803"/>
      <c r="W3" s="145"/>
      <c r="X3" s="250"/>
      <c r="Y3" s="206"/>
      <c r="Z3" s="206"/>
      <c r="AA3" s="206"/>
      <c r="AB3" s="206"/>
      <c r="AD3" s="206"/>
      <c r="AE3" s="206"/>
      <c r="AF3" s="426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1" ht="13.2" customHeight="1" x14ac:dyDescent="0.25">
      <c r="A4" s="803" t="str">
        <f>Расп!$A$27</f>
        <v>по многоборью</v>
      </c>
      <c r="B4" s="803"/>
      <c r="C4" s="803"/>
      <c r="D4" s="803"/>
      <c r="E4" s="803"/>
      <c r="F4" s="803"/>
      <c r="G4" s="803"/>
      <c r="H4" s="803"/>
      <c r="I4" s="803"/>
      <c r="J4" s="803"/>
      <c r="K4" s="803"/>
      <c r="L4" s="803"/>
      <c r="M4" s="803"/>
      <c r="N4" s="803"/>
      <c r="O4" s="803"/>
      <c r="P4" s="803"/>
      <c r="Q4" s="803"/>
      <c r="R4" s="80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1" ht="13.2" customHeight="1" x14ac:dyDescent="0.3">
      <c r="A5" s="804" t="s">
        <v>262</v>
      </c>
      <c r="B5" s="804"/>
      <c r="C5" s="804"/>
      <c r="D5" s="804"/>
      <c r="E5" s="804"/>
      <c r="F5" s="804"/>
      <c r="G5" s="804"/>
      <c r="H5" s="804"/>
      <c r="I5" s="804"/>
      <c r="J5" s="804"/>
      <c r="K5" s="804"/>
      <c r="L5" s="804"/>
      <c r="M5" s="804"/>
      <c r="N5" s="804"/>
      <c r="O5" s="804"/>
      <c r="P5" s="804"/>
      <c r="Q5" s="804"/>
      <c r="R5" s="80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1" ht="13.2" customHeight="1" x14ac:dyDescent="0.25">
      <c r="A6" s="801" t="s">
        <v>118</v>
      </c>
      <c r="B6" s="801"/>
      <c r="C6" s="801"/>
      <c r="D6" s="801"/>
      <c r="E6" s="801"/>
      <c r="F6" s="801"/>
      <c r="G6" s="801"/>
      <c r="H6" s="801"/>
      <c r="I6" s="801"/>
      <c r="J6" s="801"/>
      <c r="K6" s="801"/>
      <c r="L6" s="801"/>
      <c r="M6" s="801"/>
      <c r="N6" s="801"/>
      <c r="O6" s="801"/>
      <c r="P6" s="801"/>
      <c r="Q6" s="801"/>
      <c r="R6" s="80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1" ht="13.2" customHeight="1" x14ac:dyDescent="0.25">
      <c r="C7" s="603"/>
      <c r="E7" s="147"/>
      <c r="G7" s="41"/>
      <c r="H7" s="667"/>
      <c r="I7" s="427"/>
      <c r="K7" s="503" t="str">
        <f>Расп!$A$1</f>
        <v>04.09.2019 г.</v>
      </c>
      <c r="L7" s="720" t="s">
        <v>343</v>
      </c>
      <c r="M7" s="504"/>
      <c r="N7" s="500"/>
      <c r="O7" s="501"/>
      <c r="P7" s="501"/>
      <c r="Q7" s="503" t="str">
        <f>Расп!$A$7</f>
        <v>19.05.2019 г.</v>
      </c>
      <c r="R7" s="504" t="s">
        <v>344</v>
      </c>
      <c r="S7" s="603"/>
      <c r="T7" s="603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1" ht="13.2" customHeight="1" x14ac:dyDescent="0.25">
      <c r="A8" s="802" t="str">
        <f>Расп!A28</f>
        <v>Мужчины</v>
      </c>
      <c r="B8" s="802"/>
      <c r="C8" s="505" t="s">
        <v>117</v>
      </c>
      <c r="E8" s="147"/>
      <c r="G8" s="41"/>
      <c r="H8" s="667"/>
      <c r="I8" s="204"/>
      <c r="J8" s="519"/>
      <c r="K8" s="206" t="str">
        <f>Расп!A2</f>
        <v>бег 100 м</v>
      </c>
      <c r="L8" s="520">
        <f>Расп!B2</f>
        <v>0.39583333333333331</v>
      </c>
      <c r="M8" s="502"/>
      <c r="N8" s="500"/>
      <c r="O8" s="501"/>
      <c r="P8" s="501"/>
      <c r="Q8" s="518" t="str">
        <f>Расп!A8</f>
        <v>бег с барьерами 110 м (1,067 м)</v>
      </c>
      <c r="R8" s="502">
        <f>Расп!B8</f>
        <v>0.41666666666666669</v>
      </c>
      <c r="S8" s="603"/>
      <c r="T8" s="603"/>
      <c r="W8" s="152" t="s">
        <v>22</v>
      </c>
      <c r="X8" s="250" t="s">
        <v>76</v>
      </c>
      <c r="Y8" s="428">
        <v>1</v>
      </c>
      <c r="Z8" s="428">
        <v>2</v>
      </c>
      <c r="AA8" s="206">
        <v>3</v>
      </c>
      <c r="AB8" s="428" t="s">
        <v>61</v>
      </c>
      <c r="AC8" s="428" t="s">
        <v>60</v>
      </c>
      <c r="AD8" s="428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1" ht="13.2" customHeight="1" x14ac:dyDescent="0.25">
      <c r="A9" s="206" t="str">
        <f>Расп!$A$14</f>
        <v>РМ</v>
      </c>
      <c r="B9" s="603">
        <f>Расп!B14</f>
        <v>9039</v>
      </c>
      <c r="C9" s="603" t="s">
        <v>264</v>
      </c>
      <c r="G9" s="41"/>
      <c r="H9" s="667"/>
      <c r="I9" s="204"/>
      <c r="J9" s="204"/>
      <c r="K9" s="206" t="str">
        <f>Расп!A3</f>
        <v>прыжок в длину</v>
      </c>
      <c r="L9" s="520">
        <f>Расп!B3</f>
        <v>0.42708333333333331</v>
      </c>
      <c r="M9" s="502"/>
      <c r="N9" s="500"/>
      <c r="O9" s="501"/>
      <c r="P9" s="501"/>
      <c r="Q9" s="518" t="str">
        <f>Расп!A9</f>
        <v>метание диска (2,0 кг)</v>
      </c>
      <c r="R9" s="502">
        <f>Расп!B9</f>
        <v>0.4513888888888889</v>
      </c>
      <c r="S9" s="603"/>
      <c r="T9" s="603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1" ht="13.2" customHeight="1" x14ac:dyDescent="0.3">
      <c r="A10" s="206" t="str">
        <f>Расп!$A$15</f>
        <v>РЕ</v>
      </c>
      <c r="B10" s="603">
        <f>Расп!B15</f>
        <v>9026</v>
      </c>
      <c r="C10" s="603" t="s">
        <v>265</v>
      </c>
      <c r="G10" s="41"/>
      <c r="H10" s="667"/>
      <c r="I10" s="204"/>
      <c r="J10" s="204"/>
      <c r="K10" s="206" t="str">
        <f>Расп!A4</f>
        <v>толкание ядра (7,26 кг)</v>
      </c>
      <c r="L10" s="520">
        <f>Расп!B4</f>
        <v>0.46875</v>
      </c>
      <c r="M10" s="502"/>
      <c r="N10" s="501"/>
      <c r="O10" s="257"/>
      <c r="P10" s="204"/>
      <c r="Q10" s="518" t="str">
        <f>Расп!A10</f>
        <v>прыжок с шестом</v>
      </c>
      <c r="R10" s="502">
        <f>Расп!B10</f>
        <v>0.52777777777777779</v>
      </c>
      <c r="W10" s="152" t="s">
        <v>24</v>
      </c>
      <c r="X10" s="320"/>
      <c r="Y10" s="320"/>
      <c r="Z10" s="320"/>
      <c r="AA10" s="320"/>
      <c r="AB10" s="320"/>
      <c r="AC10" s="320"/>
      <c r="AD10" s="430"/>
      <c r="AE10" s="430"/>
      <c r="AF10" s="430"/>
      <c r="AH10" s="320"/>
      <c r="AI10" s="431"/>
      <c r="AJ10" s="320"/>
      <c r="AK10" s="320"/>
      <c r="AL10" s="320"/>
      <c r="AM10" s="320"/>
      <c r="AN10" s="430"/>
      <c r="AR10" s="603"/>
      <c r="AS10" s="250"/>
      <c r="AT10" s="206"/>
      <c r="AU10" s="206"/>
      <c r="AV10" s="206"/>
      <c r="AW10" s="206"/>
      <c r="AX10" s="206"/>
    </row>
    <row r="11" spans="1:51" ht="13.2" customHeight="1" x14ac:dyDescent="0.3">
      <c r="A11" s="206" t="str">
        <f>Расп!$A$16</f>
        <v>РР</v>
      </c>
      <c r="B11" s="603">
        <f>Расп!B16</f>
        <v>8698</v>
      </c>
      <c r="C11" s="603" t="s">
        <v>266</v>
      </c>
      <c r="G11" s="41"/>
      <c r="H11" s="667"/>
      <c r="I11" s="204"/>
      <c r="J11" s="204"/>
      <c r="K11" s="206" t="str">
        <f>Расп!A5</f>
        <v>прыжок в высоту</v>
      </c>
      <c r="L11" s="520">
        <f>Расп!B5</f>
        <v>0.625</v>
      </c>
      <c r="M11" s="502"/>
      <c r="N11" s="501"/>
      <c r="O11" s="257"/>
      <c r="P11" s="204"/>
      <c r="Q11" s="518" t="str">
        <f>Расп!A11</f>
        <v>метание копья (800 г)</v>
      </c>
      <c r="R11" s="502">
        <v>0.66666666666666663</v>
      </c>
      <c r="W11" s="152"/>
      <c r="X11" s="432" t="s">
        <v>133</v>
      </c>
      <c r="Y11" s="433">
        <v>5</v>
      </c>
      <c r="Z11" s="320"/>
      <c r="AA11" s="320"/>
      <c r="AB11" s="320"/>
      <c r="AC11" s="320"/>
      <c r="AD11" s="430"/>
      <c r="AE11" s="430"/>
      <c r="AF11" s="430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1" ht="13.2" customHeight="1" x14ac:dyDescent="0.3">
      <c r="A12" s="41" t="str">
        <f>Расп!$A$26</f>
        <v>г.Сочи, Адлерский район, стадион "Юность"</v>
      </c>
      <c r="C12" s="153"/>
      <c r="H12" s="668"/>
      <c r="I12" s="204"/>
      <c r="J12" s="204"/>
      <c r="K12" s="206" t="str">
        <f>Расп!A6</f>
        <v>бег 400 м</v>
      </c>
      <c r="L12" s="520">
        <f>Расп!B6</f>
        <v>0.72916666666666663</v>
      </c>
      <c r="M12" s="502"/>
      <c r="N12" s="501"/>
      <c r="O12" s="501"/>
      <c r="P12" s="204"/>
      <c r="Q12" s="518" t="str">
        <f>Расп!A12</f>
        <v>бег 1500 м</v>
      </c>
      <c r="R12" s="502">
        <v>0.72222222222222221</v>
      </c>
      <c r="W12" s="434"/>
      <c r="X12" s="320"/>
      <c r="Y12" s="320"/>
      <c r="Z12" s="320"/>
      <c r="AA12" s="320"/>
      <c r="AB12" s="320"/>
      <c r="AC12" s="320"/>
      <c r="AD12" s="430"/>
      <c r="AE12" s="430"/>
      <c r="AF12" s="430"/>
      <c r="AH12" s="41"/>
      <c r="AI12" s="41"/>
      <c r="AK12" s="41"/>
    </row>
    <row r="13" spans="1:51" s="158" customFormat="1" ht="30.6" customHeight="1" x14ac:dyDescent="0.2">
      <c r="A13" s="506" t="s">
        <v>59</v>
      </c>
      <c r="B13" s="506" t="s">
        <v>272</v>
      </c>
      <c r="C13" s="506" t="s">
        <v>350</v>
      </c>
      <c r="D13" s="506" t="s">
        <v>274</v>
      </c>
      <c r="E13" s="435"/>
      <c r="F13" s="506" t="s">
        <v>277</v>
      </c>
      <c r="G13" s="506" t="s">
        <v>248</v>
      </c>
      <c r="H13" s="506" t="s">
        <v>269</v>
      </c>
      <c r="I13" s="506" t="s">
        <v>249</v>
      </c>
      <c r="J13" s="506" t="s">
        <v>278</v>
      </c>
      <c r="K13" s="506" t="s">
        <v>268</v>
      </c>
      <c r="L13" s="506" t="s">
        <v>270</v>
      </c>
      <c r="M13" s="506" t="s">
        <v>251</v>
      </c>
      <c r="N13" s="506" t="s">
        <v>271</v>
      </c>
      <c r="O13" s="506" t="s">
        <v>279</v>
      </c>
      <c r="P13" s="507" t="s">
        <v>29</v>
      </c>
      <c r="Q13" s="507" t="s">
        <v>1</v>
      </c>
      <c r="R13" s="508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436" t="s">
        <v>70</v>
      </c>
      <c r="AE13" s="436" t="s">
        <v>18</v>
      </c>
      <c r="AF13" s="436">
        <v>1500</v>
      </c>
      <c r="AH13" s="437" t="s">
        <v>134</v>
      </c>
      <c r="AI13" s="437" t="s">
        <v>135</v>
      </c>
      <c r="AJ13" s="158" t="s">
        <v>137</v>
      </c>
    </row>
    <row r="14" spans="1:51" s="602" customFormat="1" ht="13.2" hidden="1" customHeight="1" x14ac:dyDescent="0.25">
      <c r="D14" s="429"/>
      <c r="P14" s="157"/>
      <c r="Q14" s="157"/>
      <c r="R14" s="157"/>
      <c r="S14" s="157"/>
      <c r="T14" s="157"/>
      <c r="U14" s="157"/>
      <c r="V14" s="157"/>
      <c r="W14" s="438"/>
      <c r="X14" s="399"/>
      <c r="Y14" s="399"/>
      <c r="Z14" s="399"/>
      <c r="AA14" s="399"/>
      <c r="AB14" s="399"/>
      <c r="AC14" s="399"/>
      <c r="AD14" s="439"/>
      <c r="AE14" s="439"/>
      <c r="AF14" s="439"/>
    </row>
    <row r="15" spans="1:51" s="602" customFormat="1" ht="13.2" hidden="1" customHeight="1" x14ac:dyDescent="0.25">
      <c r="A15" s="664"/>
      <c r="B15" s="664"/>
      <c r="C15" s="664"/>
      <c r="D15" s="669"/>
      <c r="E15" s="664"/>
      <c r="F15" s="664"/>
      <c r="G15" s="664"/>
      <c r="H15" s="664"/>
      <c r="I15" s="664"/>
      <c r="J15" s="664"/>
      <c r="K15" s="664"/>
      <c r="L15" s="664"/>
      <c r="M15" s="664"/>
      <c r="N15" s="664"/>
      <c r="O15" s="664"/>
      <c r="P15" s="527"/>
      <c r="Q15" s="527"/>
      <c r="R15" s="527"/>
      <c r="S15" s="157"/>
      <c r="T15" s="157"/>
      <c r="U15" s="157"/>
      <c r="V15" s="157"/>
      <c r="W15" s="152"/>
      <c r="X15" s="399"/>
      <c r="Y15" s="399"/>
      <c r="Z15" s="399"/>
      <c r="AA15" s="399"/>
      <c r="AB15" s="399"/>
      <c r="AC15" s="399"/>
      <c r="AD15" s="439"/>
      <c r="AE15" s="439"/>
      <c r="AF15" s="439"/>
    </row>
    <row r="16" spans="1:51" s="287" customFormat="1" ht="13.2" customHeight="1" x14ac:dyDescent="0.35">
      <c r="A16" s="685">
        <v>1</v>
      </c>
      <c r="B16" s="523">
        <v>8</v>
      </c>
      <c r="C16" s="687" t="e">
        <f>VLOOKUP(B16,Уч!$A$2:$L$34,2,FALSE)</f>
        <v>#N/A</v>
      </c>
      <c r="D16" s="528" t="e">
        <f>VLOOKUP(B16,Уч!$A$2:$L$34,3,FALSE)</f>
        <v>#N/A</v>
      </c>
      <c r="E16" s="536" t="s">
        <v>19</v>
      </c>
      <c r="F16" s="670" t="e">
        <f>VLOOKUP($B16,'100 м 1'!$C$18:$I$87,5,FALSE)</f>
        <v>#N/A</v>
      </c>
      <c r="G16" s="670" t="e">
        <f>VLOOKUP($B16,'длина 2 '!$C$16:$O$54,11,FALSE)</f>
        <v>#N/A</v>
      </c>
      <c r="H16" s="670" t="e">
        <f>VLOOKUP($B16,'ядро 2'!$C$16:$K$60,8,FALSE)</f>
        <v>#N/A</v>
      </c>
      <c r="I16" s="670" t="e">
        <f>VLOOKUP($B16,'высота 2'!$C$16:$AF$57,29,FALSE)</f>
        <v>#N/A</v>
      </c>
      <c r="J16" s="671">
        <f>VLOOKUP($B16,'4_р'!$C$17:$H$73,5,FALSE)</f>
        <v>49.61</v>
      </c>
      <c r="K16" s="670">
        <f>VLOOKUP($B16,'1cб_р'!$C$17:$I$67,5,FALSE)</f>
        <v>15.04</v>
      </c>
      <c r="L16" s="670">
        <f>VLOOKUP($B16,Дс_р!$C$16:$K$70,8,FALSE)</f>
        <v>40.01</v>
      </c>
      <c r="M16" s="670">
        <f>VLOOKUP($B16,Ш_р!$C$15:$AF$69,29,FALSE)</f>
        <v>4.5999999999999996</v>
      </c>
      <c r="N16" s="670">
        <f>VLOOKUP($B16,К_р!$C$15:$K$68,8,FALSE)</f>
        <v>51.77</v>
      </c>
      <c r="O16" s="523" t="str">
        <f>VLOOKUP($B16,'15_р'!$C$17:$H$86,5,FALSE)</f>
        <v>4:51.62</v>
      </c>
      <c r="P16" s="643" t="e">
        <f>SUM(F18:O18)</f>
        <v>#N/A</v>
      </c>
      <c r="Q16" s="522" t="e">
        <f>LOOKUP(P16,Y$1:AH$1,Y$2:AH$2)</f>
        <v>#N/A</v>
      </c>
      <c r="R16" s="693" t="e">
        <f>AH16+AI16+5</f>
        <v>#N/A</v>
      </c>
      <c r="S16" s="523">
        <f>B16</f>
        <v>8</v>
      </c>
      <c r="T16" s="287">
        <f>$A16</f>
        <v>1</v>
      </c>
      <c r="U16" s="287">
        <v>1</v>
      </c>
      <c r="V16" s="287">
        <f>$A16</f>
        <v>1</v>
      </c>
      <c r="W16" s="449"/>
      <c r="X16" s="307"/>
      <c r="Y16" s="307"/>
      <c r="Z16" s="307"/>
      <c r="AA16" s="307"/>
      <c r="AB16" s="307"/>
      <c r="AC16" s="307"/>
      <c r="AD16" s="450"/>
      <c r="AE16" s="450"/>
      <c r="AF16" s="450"/>
      <c r="AG16" s="280"/>
      <c r="AH16" s="280" t="e">
        <f>IF(AND(T16&gt;16,P16&gt;=6200),"1",LOOKUP(T16,Y$5:AO$5,Y$6:AO$6))</f>
        <v>#N/A</v>
      </c>
      <c r="AI16" s="280" t="e">
        <f>LOOKUP(Q16,Y$8:AD$8,Y$9:AD$9)</f>
        <v>#N/A</v>
      </c>
      <c r="AJ16" s="404">
        <v>162</v>
      </c>
      <c r="AK16" s="231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  <c r="AX16" s="280"/>
      <c r="AY16" s="280"/>
    </row>
    <row r="17" spans="1:51" s="287" customFormat="1" x14ac:dyDescent="0.35">
      <c r="A17" s="686"/>
      <c r="B17" s="523"/>
      <c r="C17" s="688" t="e">
        <f>VLOOKUP(B16,Уч!$A$2:$L$34,5,FALSE)</f>
        <v>#N/A</v>
      </c>
      <c r="D17" s="528" t="e">
        <f>VLOOKUP(B16,Уч!$A$2:$L$34,4,FALSE)</f>
        <v>#N/A</v>
      </c>
      <c r="E17" s="509" t="s">
        <v>25</v>
      </c>
      <c r="F17" s="672" t="e">
        <f>VLOOKUP($B16,'100 м 1'!$C$18:$I$87,6,FALSE)</f>
        <v>#N/A</v>
      </c>
      <c r="G17" s="672" t="e">
        <f>VLOOKUP($B16,'длина 2 '!$C$16:$O$54,12,FALSE)</f>
        <v>#N/A</v>
      </c>
      <c r="H17" s="523"/>
      <c r="I17" s="672"/>
      <c r="J17" s="673"/>
      <c r="K17" s="672">
        <f>VLOOKUP($B16,'1cб_р'!$C$17:$I$67,6,FALSE)</f>
        <v>0</v>
      </c>
      <c r="L17" s="672"/>
      <c r="M17" s="672"/>
      <c r="N17" s="523"/>
      <c r="O17" s="523"/>
      <c r="P17" s="695"/>
      <c r="Q17" s="674"/>
      <c r="R17" s="694" t="e">
        <f>CONCATENATE(AH16,"+",AI16,"+",5)</f>
        <v>#N/A</v>
      </c>
      <c r="S17" s="523">
        <f>B16</f>
        <v>8</v>
      </c>
      <c r="T17" s="287">
        <f>$A16</f>
        <v>1</v>
      </c>
      <c r="U17" s="287">
        <v>2</v>
      </c>
      <c r="V17" s="287">
        <f>$A16</f>
        <v>1</v>
      </c>
      <c r="W17" s="449"/>
      <c r="X17" s="307"/>
      <c r="Y17" s="307"/>
      <c r="Z17" s="307"/>
      <c r="AA17" s="307"/>
      <c r="AB17" s="307"/>
      <c r="AC17" s="307"/>
      <c r="AD17" s="450"/>
      <c r="AE17" s="450"/>
      <c r="AF17" s="450"/>
      <c r="AG17" s="280"/>
      <c r="AH17" s="231"/>
      <c r="AI17" s="231"/>
      <c r="AJ17" s="404">
        <v>162</v>
      </c>
      <c r="AK17" s="231"/>
      <c r="AL17" s="280"/>
      <c r="AM17" s="280"/>
      <c r="AN17" s="280"/>
      <c r="AO17" s="280"/>
      <c r="AP17" s="280"/>
      <c r="AQ17" s="280"/>
      <c r="AR17" s="280"/>
      <c r="AS17" s="280"/>
      <c r="AT17" s="280"/>
      <c r="AU17" s="280"/>
      <c r="AV17" s="280"/>
      <c r="AW17" s="280"/>
      <c r="AX17" s="280"/>
      <c r="AY17" s="280"/>
    </row>
    <row r="18" spans="1:51" s="287" customFormat="1" x14ac:dyDescent="0.35">
      <c r="A18" s="686"/>
      <c r="B18" s="523"/>
      <c r="C18" s="689" t="e">
        <f>VLOOKUP(B16,Уч!$A$2:$L$34,7,FALSE)</f>
        <v>#N/A</v>
      </c>
      <c r="D18" s="528"/>
      <c r="E18" s="509" t="s">
        <v>29</v>
      </c>
      <c r="F18" s="523" t="e">
        <f>VLOOKUP($B16,'100 м 1'!$C$18:$I$87,7,FALSE)</f>
        <v>#N/A</v>
      </c>
      <c r="G18" s="523" t="e">
        <f>VLOOKUP($B16,'длина 2 '!$C$16:$O$54,13,FALSE)</f>
        <v>#N/A</v>
      </c>
      <c r="H18" s="523" t="e">
        <f>VLOOKUP($B16,'ядро 2'!$C$16:$K$60,9,FALSE)</f>
        <v>#N/A</v>
      </c>
      <c r="I18" s="523" t="e">
        <f>VLOOKUP($B16,'высота 2'!$C$16:$AF$57,30,)</f>
        <v>#N/A</v>
      </c>
      <c r="J18" s="526">
        <f>VLOOKUP($B16,'4_р'!$C$17:$H$73,6,FALSE)</f>
        <v>833</v>
      </c>
      <c r="K18" s="523">
        <f>VLOOKUP($B16,'1cб_р'!$C$17:$I$67,7,FALSE)</f>
        <v>845</v>
      </c>
      <c r="L18" s="523">
        <f>VLOOKUP($B16,Дс_р!$C$16:$K$70,9,FALSE)</f>
        <v>665</v>
      </c>
      <c r="M18" s="523">
        <f>VLOOKUP($B16,Ш_р!$C$15:$AF$69,30,FALSE)</f>
        <v>790</v>
      </c>
      <c r="N18" s="523">
        <f>VLOOKUP($B16,К_р!$C$15:$K$68,9,FALSE)</f>
        <v>615</v>
      </c>
      <c r="O18" s="523">
        <f>VLOOKUP($B16,'15_р'!$C$17:$H$86,6,FALSE)</f>
        <v>609</v>
      </c>
      <c r="P18" s="695"/>
      <c r="Q18" s="650"/>
      <c r="R18" s="695"/>
      <c r="S18" s="523">
        <f>B16</f>
        <v>8</v>
      </c>
      <c r="T18" s="287">
        <f>$A16</f>
        <v>1</v>
      </c>
      <c r="U18" s="287">
        <v>3</v>
      </c>
      <c r="V18" s="287">
        <f>$A16</f>
        <v>1</v>
      </c>
      <c r="W18" s="449"/>
      <c r="X18" s="307"/>
      <c r="Y18" s="307"/>
      <c r="Z18" s="307"/>
      <c r="AA18" s="307"/>
      <c r="AB18" s="307"/>
      <c r="AC18" s="307"/>
      <c r="AD18" s="450"/>
      <c r="AE18" s="450"/>
      <c r="AF18" s="450"/>
      <c r="AG18" s="280"/>
      <c r="AH18" s="231"/>
      <c r="AI18" s="231"/>
      <c r="AJ18" s="404">
        <v>162</v>
      </c>
      <c r="AK18" s="231"/>
      <c r="AL18" s="280"/>
      <c r="AM18" s="280"/>
      <c r="AN18" s="280"/>
      <c r="AO18" s="280"/>
      <c r="AP18" s="280"/>
      <c r="AQ18" s="280"/>
      <c r="AR18" s="280"/>
      <c r="AS18" s="280"/>
      <c r="AT18" s="280"/>
      <c r="AU18" s="280"/>
      <c r="AV18" s="280"/>
      <c r="AW18" s="280"/>
      <c r="AX18" s="280"/>
      <c r="AY18" s="280"/>
    </row>
    <row r="19" spans="1:51" s="287" customFormat="1" x14ac:dyDescent="0.35">
      <c r="A19" s="686"/>
      <c r="B19" s="523"/>
      <c r="C19" s="688" t="e">
        <f>VLOOKUP(B16,Уч!$A$2:$L$34,11,FALSE)</f>
        <v>#N/A</v>
      </c>
      <c r="D19" s="528"/>
      <c r="E19" s="509" t="s">
        <v>276</v>
      </c>
      <c r="F19" s="523" t="e">
        <f>F18</f>
        <v>#N/A</v>
      </c>
      <c r="G19" s="523" t="e">
        <f>F19+G18</f>
        <v>#N/A</v>
      </c>
      <c r="H19" s="523" t="e">
        <f>G19+H18</f>
        <v>#N/A</v>
      </c>
      <c r="I19" s="523" t="e">
        <f>H19+I18</f>
        <v>#N/A</v>
      </c>
      <c r="J19" s="526" t="e">
        <f>SUM($F18:J18)</f>
        <v>#N/A</v>
      </c>
      <c r="K19" s="523" t="e">
        <f>SUM($F18:$K18)</f>
        <v>#N/A</v>
      </c>
      <c r="L19" s="523" t="e">
        <f>K19+L18</f>
        <v>#N/A</v>
      </c>
      <c r="M19" s="523" t="e">
        <f>L19+M18</f>
        <v>#N/A</v>
      </c>
      <c r="N19" s="523" t="e">
        <f>SUM($F18:$N18)</f>
        <v>#N/A</v>
      </c>
      <c r="O19" s="523" t="e">
        <f>SUM($F18:$O18)</f>
        <v>#N/A</v>
      </c>
      <c r="P19" s="695"/>
      <c r="Q19" s="650"/>
      <c r="R19" s="695"/>
      <c r="S19" s="523">
        <f>B16</f>
        <v>8</v>
      </c>
      <c r="T19" s="287">
        <f>$A16</f>
        <v>1</v>
      </c>
      <c r="U19" s="287">
        <v>4</v>
      </c>
      <c r="V19" s="287">
        <f>$A16</f>
        <v>1</v>
      </c>
      <c r="W19" s="372" t="e">
        <f t="shared" ref="W19:AF19" si="0">F19</f>
        <v>#N/A</v>
      </c>
      <c r="X19" s="372" t="e">
        <f t="shared" si="0"/>
        <v>#N/A</v>
      </c>
      <c r="Y19" s="372" t="e">
        <f t="shared" si="0"/>
        <v>#N/A</v>
      </c>
      <c r="Z19" s="372" t="e">
        <f t="shared" si="0"/>
        <v>#N/A</v>
      </c>
      <c r="AA19" s="372" t="e">
        <f t="shared" si="0"/>
        <v>#N/A</v>
      </c>
      <c r="AB19" s="372" t="e">
        <f t="shared" si="0"/>
        <v>#N/A</v>
      </c>
      <c r="AC19" s="372" t="e">
        <f t="shared" si="0"/>
        <v>#N/A</v>
      </c>
      <c r="AD19" s="372" t="e">
        <f t="shared" si="0"/>
        <v>#N/A</v>
      </c>
      <c r="AE19" s="372" t="e">
        <f t="shared" si="0"/>
        <v>#N/A</v>
      </c>
      <c r="AF19" s="372" t="e">
        <f t="shared" si="0"/>
        <v>#N/A</v>
      </c>
      <c r="AG19" s="280"/>
      <c r="AH19" s="231"/>
      <c r="AI19" s="231"/>
      <c r="AJ19" s="404">
        <v>162</v>
      </c>
      <c r="AK19" s="231"/>
      <c r="AL19" s="280"/>
      <c r="AM19" s="280"/>
      <c r="AN19" s="280"/>
      <c r="AO19" s="280"/>
      <c r="AP19" s="280"/>
      <c r="AQ19" s="280"/>
      <c r="AR19" s="280"/>
      <c r="AS19" s="280"/>
      <c r="AT19" s="280"/>
      <c r="AU19" s="280"/>
      <c r="AV19" s="280"/>
      <c r="AW19" s="280"/>
      <c r="AX19" s="280"/>
      <c r="AY19" s="280"/>
    </row>
    <row r="20" spans="1:51" s="287" customFormat="1" x14ac:dyDescent="0.25">
      <c r="A20" s="625"/>
      <c r="B20" s="698"/>
      <c r="C20" s="691"/>
      <c r="D20" s="699"/>
      <c r="E20" s="692" t="s">
        <v>59</v>
      </c>
      <c r="F20" s="698" t="e">
        <f>RANK(F19,$W$19:$W$135,0)</f>
        <v>#N/A</v>
      </c>
      <c r="G20" s="698" t="e">
        <f>RANK(G19,$X$19:$X$135,0)</f>
        <v>#N/A</v>
      </c>
      <c r="H20" s="698" t="e">
        <f>RANK(H19,$Y$19:$Y$135,0)</f>
        <v>#N/A</v>
      </c>
      <c r="I20" s="698" t="e">
        <f>RANK(I19,$Z$19:$Z$135,0)</f>
        <v>#N/A</v>
      </c>
      <c r="J20" s="700" t="e">
        <f>RANK(J19,$AA$19:$AA$110,0)</f>
        <v>#N/A</v>
      </c>
      <c r="K20" s="698" t="e">
        <f>RANK(K19,$AB$19:$AB$109,0)</f>
        <v>#N/A</v>
      </c>
      <c r="L20" s="698" t="e">
        <f>RANK(L19,$AC$19:$AC$115,0)</f>
        <v>#N/A</v>
      </c>
      <c r="M20" s="698" t="e">
        <f>RANK(M19,$AD$19:$AD$135,0)</f>
        <v>#N/A</v>
      </c>
      <c r="N20" s="698" t="e">
        <f>RANK(N19,$AE$19:$AE$135,0)</f>
        <v>#N/A</v>
      </c>
      <c r="O20" s="698" t="e">
        <f>RANK(O19,$AF$19:$AF$135,0)</f>
        <v>#N/A</v>
      </c>
      <c r="P20" s="648"/>
      <c r="Q20" s="701"/>
      <c r="R20" s="696"/>
      <c r="S20" s="675">
        <f>B16</f>
        <v>8</v>
      </c>
      <c r="T20" s="287">
        <f>$A16</f>
        <v>1</v>
      </c>
      <c r="U20" s="287">
        <v>5</v>
      </c>
      <c r="V20" s="287">
        <f>$A16</f>
        <v>1</v>
      </c>
      <c r="W20" s="449"/>
      <c r="X20" s="307"/>
      <c r="Y20" s="307"/>
      <c r="Z20" s="307"/>
      <c r="AA20" s="307"/>
      <c r="AB20" s="307"/>
      <c r="AC20" s="307"/>
      <c r="AD20" s="450"/>
      <c r="AE20" s="450"/>
      <c r="AF20" s="450"/>
      <c r="AG20" s="280"/>
      <c r="AH20" s="231"/>
      <c r="AI20" s="231"/>
      <c r="AJ20" s="404">
        <v>162</v>
      </c>
      <c r="AK20" s="231"/>
      <c r="AL20" s="280"/>
      <c r="AM20" s="280"/>
      <c r="AN20" s="280"/>
      <c r="AO20" s="280"/>
      <c r="AP20" s="280"/>
      <c r="AQ20" s="280"/>
      <c r="AR20" s="280"/>
      <c r="AS20" s="280"/>
      <c r="AT20" s="280"/>
      <c r="AU20" s="280"/>
      <c r="AV20" s="280"/>
      <c r="AW20" s="280"/>
      <c r="AX20" s="280"/>
      <c r="AY20" s="280"/>
    </row>
    <row r="21" spans="1:51" s="280" customFormat="1" x14ac:dyDescent="0.35">
      <c r="A21" s="686">
        <v>2</v>
      </c>
      <c r="B21" s="523">
        <v>39</v>
      </c>
      <c r="C21" s="690" t="str">
        <f>VLOOKUP(B21,Уч!$A$2:$L$34,2,FALSE)</f>
        <v>Левковский Андрей</v>
      </c>
      <c r="D21" s="528" t="str">
        <f>VLOOKUP(B21,Уч!$A$2:$L$34,3,FALSE)</f>
        <v>17.08.1997</v>
      </c>
      <c r="E21" s="509" t="s">
        <v>19</v>
      </c>
      <c r="F21" s="670">
        <f>VLOOKUP($B21,'100 м 1'!$C$18:$I$87,5,FALSE)</f>
        <v>11.7</v>
      </c>
      <c r="G21" s="670" t="e">
        <f>VLOOKUP($B21,'длина 2 '!$C$16:$O$54,11,FALSE)</f>
        <v>#N/A</v>
      </c>
      <c r="H21" s="670" t="e">
        <f>VLOOKUP($B21,'ядро 2'!$C$16:$K$60,8,FALSE)</f>
        <v>#N/A</v>
      </c>
      <c r="I21" s="670" t="e">
        <f>VLOOKUP($B21,'высота 2'!$C$16:$AF$57,29,FALSE)</f>
        <v>#N/A</v>
      </c>
      <c r="J21" s="671">
        <f>VLOOKUP($B21,'4_р'!$C$17:$H$73,5,FALSE)</f>
        <v>49.03</v>
      </c>
      <c r="K21" s="670">
        <f>VLOOKUP($B21,'1cб_р'!$C$17:$I$67,5,FALSE)</f>
        <v>15.49</v>
      </c>
      <c r="L21" s="670">
        <f>VLOOKUP($B21,Дс_р!$C$16:$K$70,8,FALSE)</f>
        <v>39.51</v>
      </c>
      <c r="M21" s="670">
        <f>VLOOKUP($B21,Ш_р!$C$15:$AF$69,29,FALSE)</f>
        <v>4.2</v>
      </c>
      <c r="N21" s="670">
        <f>VLOOKUP($B21,К_р!$C$15:$K$68,8,FALSE)</f>
        <v>51.08</v>
      </c>
      <c r="O21" s="523" t="str">
        <f>VLOOKUP($B21,'15_р'!$C$17:$H$86,5,FALSE)</f>
        <v>4:35.36</v>
      </c>
      <c r="P21" s="695" t="e">
        <f>SUM(F23:O23)</f>
        <v>#N/A</v>
      </c>
      <c r="Q21" s="522" t="e">
        <f>LOOKUP(P21,Y$1:AH$1,Y$2:AH$2)</f>
        <v>#N/A</v>
      </c>
      <c r="R21" s="694" t="e">
        <f>AH21+AI21+5</f>
        <v>#N/A</v>
      </c>
      <c r="S21" s="523">
        <f>B21</f>
        <v>39</v>
      </c>
      <c r="T21" s="287">
        <f>$A21</f>
        <v>2</v>
      </c>
      <c r="U21" s="287">
        <v>1</v>
      </c>
      <c r="V21" s="287">
        <f>$A21</f>
        <v>2</v>
      </c>
      <c r="W21" s="449"/>
      <c r="X21" s="307"/>
      <c r="Y21" s="307"/>
      <c r="Z21" s="307"/>
      <c r="AA21" s="307"/>
      <c r="AB21" s="307"/>
      <c r="AC21" s="307"/>
      <c r="AD21" s="450"/>
      <c r="AE21" s="450"/>
      <c r="AF21" s="450"/>
      <c r="AH21" s="280" t="e">
        <f>IF(AND(T21&gt;16,P21&gt;=6200),"1",LOOKUP(T21,Y$5:AO$5,Y$6:AO$6))</f>
        <v>#N/A</v>
      </c>
      <c r="AI21" s="280" t="e">
        <f>LOOKUP(Q21,Y$8:AD$8,Y$9:AD$9)</f>
        <v>#N/A</v>
      </c>
      <c r="AJ21" s="404">
        <v>63</v>
      </c>
      <c r="AK21" s="231"/>
    </row>
    <row r="22" spans="1:51" s="280" customFormat="1" x14ac:dyDescent="0.35">
      <c r="A22" s="686"/>
      <c r="B22" s="523"/>
      <c r="C22" s="688" t="str">
        <f>VLOOKUP(B21,Уч!$A$2:$L$34,5,FALSE)</f>
        <v xml:space="preserve">Кемеровская область  </v>
      </c>
      <c r="D22" s="528" t="str">
        <f>VLOOKUP(B21,Уч!$A$2:$L$34,4,FALSE)</f>
        <v>МС</v>
      </c>
      <c r="E22" s="509" t="s">
        <v>25</v>
      </c>
      <c r="F22" s="672">
        <f>VLOOKUP($B21,'100 м 1'!$C$18:$I$87,6,FALSE)</f>
        <v>0.1</v>
      </c>
      <c r="G22" s="672" t="e">
        <f>VLOOKUP($B21,'длина 2 '!$C$16:$O$54,12,FALSE)</f>
        <v>#N/A</v>
      </c>
      <c r="H22" s="523"/>
      <c r="I22" s="672"/>
      <c r="J22" s="673"/>
      <c r="K22" s="672">
        <f>VLOOKUP($B21,'1cб_р'!$C$17:$I$67,6,FALSE)</f>
        <v>0</v>
      </c>
      <c r="L22" s="672"/>
      <c r="M22" s="672"/>
      <c r="N22" s="523"/>
      <c r="O22" s="523"/>
      <c r="P22" s="695"/>
      <c r="Q22" s="674"/>
      <c r="R22" s="694" t="e">
        <f>CONCATENATE(AH21,"+",AI21,"+",5)</f>
        <v>#N/A</v>
      </c>
      <c r="S22" s="523">
        <f>B21</f>
        <v>39</v>
      </c>
      <c r="T22" s="287">
        <f>$A21</f>
        <v>2</v>
      </c>
      <c r="U22" s="287">
        <v>2</v>
      </c>
      <c r="V22" s="287">
        <f>$A21</f>
        <v>2</v>
      </c>
      <c r="W22" s="449"/>
      <c r="X22" s="307"/>
      <c r="Y22" s="307"/>
      <c r="Z22" s="307"/>
      <c r="AA22" s="307"/>
      <c r="AB22" s="307"/>
      <c r="AC22" s="307"/>
      <c r="AD22" s="450"/>
      <c r="AE22" s="450"/>
      <c r="AF22" s="450"/>
      <c r="AH22" s="231"/>
      <c r="AI22" s="231"/>
      <c r="AJ22" s="404">
        <v>63</v>
      </c>
      <c r="AK22" s="231"/>
    </row>
    <row r="23" spans="1:51" s="280" customFormat="1" x14ac:dyDescent="0.35">
      <c r="A23" s="686"/>
      <c r="B23" s="523"/>
      <c r="C23" s="689" t="str">
        <f>VLOOKUP(B21,Уч!$A$2:$L$34,7,FALSE)</f>
        <v>ГБФСУ КО "СШОР по легкой атлетике им. В.А.Савенкова"</v>
      </c>
      <c r="D23" s="528"/>
      <c r="E23" s="509" t="s">
        <v>29</v>
      </c>
      <c r="F23" s="523">
        <f>VLOOKUP($B21,'100 м 1'!$C$18:$I$87,7,FALSE)</f>
        <v>711</v>
      </c>
      <c r="G23" s="523" t="e">
        <f>VLOOKUP($B21,'длина 2 '!$C$16:$O$54,13,FALSE)</f>
        <v>#N/A</v>
      </c>
      <c r="H23" s="523" t="e">
        <f>VLOOKUP($B21,'ядро 2'!$C$16:$K$60,9,FALSE)</f>
        <v>#N/A</v>
      </c>
      <c r="I23" s="523" t="e">
        <f>VLOOKUP($B21,'высота 2'!$C$16:$AF$57,30,)</f>
        <v>#N/A</v>
      </c>
      <c r="J23" s="526">
        <f>VLOOKUP($B21,'4_р'!$C$17:$H$73,6,FALSE)</f>
        <v>860</v>
      </c>
      <c r="K23" s="523">
        <f>VLOOKUP($B21,'1cб_р'!$C$17:$I$67,7,FALSE)</f>
        <v>791</v>
      </c>
      <c r="L23" s="523">
        <f>VLOOKUP($B21,Дс_р!$C$16:$K$70,9,FALSE)</f>
        <v>655</v>
      </c>
      <c r="M23" s="523">
        <f>VLOOKUP($B21,Ш_р!$C$15:$AF$69,30,FALSE)</f>
        <v>673</v>
      </c>
      <c r="N23" s="523">
        <f>VLOOKUP($B21,К_р!$C$15:$K$68,9,FALSE)</f>
        <v>605</v>
      </c>
      <c r="O23" s="523">
        <f>VLOOKUP($B21,'15_р'!$C$17:$H$86,6,FALSE)</f>
        <v>710</v>
      </c>
      <c r="P23" s="695"/>
      <c r="Q23" s="674"/>
      <c r="R23" s="695"/>
      <c r="S23" s="523">
        <f>B21</f>
        <v>39</v>
      </c>
      <c r="T23" s="287">
        <f>$A21</f>
        <v>2</v>
      </c>
      <c r="U23" s="287">
        <v>3</v>
      </c>
      <c r="V23" s="287">
        <f>$A21</f>
        <v>2</v>
      </c>
      <c r="W23" s="449"/>
      <c r="X23" s="307"/>
      <c r="Y23" s="307"/>
      <c r="Z23" s="307"/>
      <c r="AA23" s="307"/>
      <c r="AB23" s="307"/>
      <c r="AC23" s="307"/>
      <c r="AD23" s="450"/>
      <c r="AE23" s="450"/>
      <c r="AF23" s="450"/>
      <c r="AH23" s="231"/>
      <c r="AI23" s="231"/>
      <c r="AJ23" s="404">
        <v>63</v>
      </c>
      <c r="AK23" s="231"/>
    </row>
    <row r="24" spans="1:51" s="280" customFormat="1" x14ac:dyDescent="0.35">
      <c r="A24" s="686"/>
      <c r="B24" s="523"/>
      <c r="C24" s="688" t="str">
        <f>VLOOKUP(B21,Уч!$A$2:$L$34,11,FALSE)</f>
        <v>Канашевич А.М., Ермишина Л.И., Ермишин Г.Н.</v>
      </c>
      <c r="D24" s="528"/>
      <c r="E24" s="509" t="s">
        <v>276</v>
      </c>
      <c r="F24" s="523">
        <f>F23</f>
        <v>711</v>
      </c>
      <c r="G24" s="523" t="e">
        <f>F24+G23</f>
        <v>#N/A</v>
      </c>
      <c r="H24" s="523" t="e">
        <f>G24+H23</f>
        <v>#N/A</v>
      </c>
      <c r="I24" s="523" t="e">
        <f>H24+I23</f>
        <v>#N/A</v>
      </c>
      <c r="J24" s="526" t="e">
        <f>SUM($F23:J23)</f>
        <v>#N/A</v>
      </c>
      <c r="K24" s="523" t="e">
        <f>SUM($F23:$K23)</f>
        <v>#N/A</v>
      </c>
      <c r="L24" s="523" t="e">
        <f>K24+L23</f>
        <v>#N/A</v>
      </c>
      <c r="M24" s="523" t="e">
        <f>L24+M23</f>
        <v>#N/A</v>
      </c>
      <c r="N24" s="523" t="e">
        <f>SUM($F23:$N23)</f>
        <v>#N/A</v>
      </c>
      <c r="O24" s="523" t="e">
        <f>SUM($F23:$O23)</f>
        <v>#N/A</v>
      </c>
      <c r="P24" s="695"/>
      <c r="Q24" s="674"/>
      <c r="R24" s="695"/>
      <c r="S24" s="523">
        <f>B21</f>
        <v>39</v>
      </c>
      <c r="T24" s="287">
        <f>$A21</f>
        <v>2</v>
      </c>
      <c r="U24" s="287">
        <v>4</v>
      </c>
      <c r="V24" s="287">
        <f>$A21</f>
        <v>2</v>
      </c>
      <c r="W24" s="372">
        <f t="shared" ref="W24:AF24" si="1">F24</f>
        <v>711</v>
      </c>
      <c r="X24" s="372" t="e">
        <f t="shared" si="1"/>
        <v>#N/A</v>
      </c>
      <c r="Y24" s="372" t="e">
        <f t="shared" si="1"/>
        <v>#N/A</v>
      </c>
      <c r="Z24" s="372" t="e">
        <f t="shared" si="1"/>
        <v>#N/A</v>
      </c>
      <c r="AA24" s="372" t="e">
        <f t="shared" si="1"/>
        <v>#N/A</v>
      </c>
      <c r="AB24" s="372" t="e">
        <f t="shared" si="1"/>
        <v>#N/A</v>
      </c>
      <c r="AC24" s="372" t="e">
        <f t="shared" si="1"/>
        <v>#N/A</v>
      </c>
      <c r="AD24" s="372" t="e">
        <f t="shared" si="1"/>
        <v>#N/A</v>
      </c>
      <c r="AE24" s="372" t="e">
        <f t="shared" si="1"/>
        <v>#N/A</v>
      </c>
      <c r="AF24" s="372" t="e">
        <f t="shared" si="1"/>
        <v>#N/A</v>
      </c>
      <c r="AH24" s="231"/>
      <c r="AI24" s="231"/>
      <c r="AJ24" s="404">
        <v>63</v>
      </c>
      <c r="AK24" s="231"/>
    </row>
    <row r="25" spans="1:51" s="280" customFormat="1" x14ac:dyDescent="0.25">
      <c r="A25" s="625"/>
      <c r="B25" s="698"/>
      <c r="C25" s="691"/>
      <c r="D25" s="699"/>
      <c r="E25" s="692" t="s">
        <v>59</v>
      </c>
      <c r="F25" s="698" t="e">
        <f>RANK(F24,$W$19:$W$135,0)</f>
        <v>#N/A</v>
      </c>
      <c r="G25" s="698" t="e">
        <f>RANK(G24,$X$19:$X$135,0)</f>
        <v>#N/A</v>
      </c>
      <c r="H25" s="698" t="e">
        <f>RANK(H24,$Y$19:$Y$135,0)</f>
        <v>#N/A</v>
      </c>
      <c r="I25" s="698" t="e">
        <f>RANK(I24,$Z$19:$Z$40,0)</f>
        <v>#N/A</v>
      </c>
      <c r="J25" s="700" t="e">
        <f>RANK(J24,$AA$19:$AA$110,0)</f>
        <v>#N/A</v>
      </c>
      <c r="K25" s="698" t="e">
        <f>RANK(K24,$AB$19:$AB$109,0)</f>
        <v>#N/A</v>
      </c>
      <c r="L25" s="698" t="e">
        <f>RANK(L24,$AC$19:$AC$115,0)</f>
        <v>#N/A</v>
      </c>
      <c r="M25" s="698" t="e">
        <f>RANK(M24,$AD$19:$AD$40,0)</f>
        <v>#N/A</v>
      </c>
      <c r="N25" s="698" t="e">
        <f>RANK(N24,$AE$19:$AE$135,0)</f>
        <v>#N/A</v>
      </c>
      <c r="O25" s="698" t="e">
        <f>RANK(O24,$AF$19:$AF$40,0)</f>
        <v>#N/A</v>
      </c>
      <c r="P25" s="648"/>
      <c r="Q25" s="701"/>
      <c r="R25" s="696"/>
      <c r="S25" s="675">
        <f>B21</f>
        <v>39</v>
      </c>
      <c r="T25" s="287">
        <f>$A21</f>
        <v>2</v>
      </c>
      <c r="U25" s="287">
        <v>5</v>
      </c>
      <c r="V25" s="287">
        <f>$A21</f>
        <v>2</v>
      </c>
      <c r="W25" s="449"/>
      <c r="X25" s="307"/>
      <c r="Y25" s="307"/>
      <c r="Z25" s="307"/>
      <c r="AA25" s="307"/>
      <c r="AB25" s="307"/>
      <c r="AC25" s="307"/>
      <c r="AD25" s="450"/>
      <c r="AE25" s="450"/>
      <c r="AF25" s="450"/>
      <c r="AH25" s="231"/>
      <c r="AI25" s="231"/>
      <c r="AJ25" s="404">
        <v>63</v>
      </c>
      <c r="AK25" s="231"/>
    </row>
    <row r="26" spans="1:51" s="280" customFormat="1" x14ac:dyDescent="0.35">
      <c r="A26" s="686">
        <v>3</v>
      </c>
      <c r="B26" s="523">
        <v>54</v>
      </c>
      <c r="C26" s="690" t="e">
        <f>VLOOKUP(B26,Уч!$A$2:$L$34,2,FALSE)</f>
        <v>#N/A</v>
      </c>
      <c r="D26" s="528" t="e">
        <f>VLOOKUP(B26,Уч!$A$2:$L$34,3,FALSE)</f>
        <v>#N/A</v>
      </c>
      <c r="E26" s="509" t="s">
        <v>19</v>
      </c>
      <c r="F26" s="670" t="e">
        <f>VLOOKUP($B26,'100 м 1'!$C$18:$I$87,5,FALSE)</f>
        <v>#N/A</v>
      </c>
      <c r="G26" s="670" t="e">
        <f>VLOOKUP($B26,'длина 2 '!$C$16:$O$54,11,FALSE)</f>
        <v>#N/A</v>
      </c>
      <c r="H26" s="670" t="e">
        <f>VLOOKUP($B26,'ядро 2'!$C$16:$K$60,8,FALSE)</f>
        <v>#N/A</v>
      </c>
      <c r="I26" s="670" t="e">
        <f>VLOOKUP($B26,'высота 2'!$C$16:$AF$57,29,FALSE)</f>
        <v>#N/A</v>
      </c>
      <c r="J26" s="671">
        <f>VLOOKUP($B26,'4_р'!$C$17:$H$73,5,FALSE)</f>
        <v>48.99</v>
      </c>
      <c r="K26" s="670">
        <f>VLOOKUP($B26,'1cб_р'!$C$17:$I$67,5,FALSE)</f>
        <v>14.6</v>
      </c>
      <c r="L26" s="670">
        <f>VLOOKUP($B26,Дс_р!$C$16:$K$70,8,FALSE)</f>
        <v>32.299999999999997</v>
      </c>
      <c r="M26" s="670">
        <f>VLOOKUP($B26,Ш_р!$C$15:$AF$69,29,FALSE)</f>
        <v>4.0999999999999996</v>
      </c>
      <c r="N26" s="670">
        <f>VLOOKUP($B26,К_р!$C$15:$K$68,8,FALSE)</f>
        <v>48.55</v>
      </c>
      <c r="O26" s="523" t="str">
        <f>VLOOKUP($B26,'15_р'!$C$17:$H$86,5,FALSE)</f>
        <v>4:43.14</v>
      </c>
      <c r="P26" s="695" t="e">
        <f>SUM(F28:O28)</f>
        <v>#N/A</v>
      </c>
      <c r="Q26" s="522" t="e">
        <f>LOOKUP(P26,Y$1:AH$1,Y$2:AH$2)</f>
        <v>#N/A</v>
      </c>
      <c r="R26" s="694" t="e">
        <f>AH26+AI26+5</f>
        <v>#N/A</v>
      </c>
      <c r="S26" s="523">
        <f>B26</f>
        <v>54</v>
      </c>
      <c r="T26" s="287">
        <f>$A26</f>
        <v>3</v>
      </c>
      <c r="U26" s="287">
        <v>1</v>
      </c>
      <c r="V26" s="287" t="s">
        <v>162</v>
      </c>
      <c r="W26" s="449"/>
      <c r="X26" s="307"/>
      <c r="Y26" s="307"/>
      <c r="Z26" s="307"/>
      <c r="AA26" s="307"/>
      <c r="AB26" s="307"/>
      <c r="AC26" s="307"/>
      <c r="AD26" s="450"/>
      <c r="AE26" s="450"/>
      <c r="AF26" s="450"/>
      <c r="AH26" s="280" t="e">
        <f>IF(AND(T26&gt;16,P26&gt;=6200),"1",LOOKUP(T26,Y$5:AO$5,Y$6:AO$6))</f>
        <v>#N/A</v>
      </c>
      <c r="AI26" s="280" t="e">
        <f>LOOKUP(Q26,Y$8:AD$8,Y$9:AD$9)</f>
        <v>#N/A</v>
      </c>
      <c r="AJ26" s="404">
        <v>52</v>
      </c>
      <c r="AP26" s="287"/>
      <c r="AQ26" s="287"/>
      <c r="AR26" s="287"/>
      <c r="AS26" s="287"/>
      <c r="AT26" s="287"/>
      <c r="AU26" s="287"/>
      <c r="AV26" s="287"/>
      <c r="AW26" s="287"/>
      <c r="AX26" s="287"/>
      <c r="AY26" s="287"/>
    </row>
    <row r="27" spans="1:51" s="280" customFormat="1" x14ac:dyDescent="0.35">
      <c r="A27" s="686"/>
      <c r="B27" s="523"/>
      <c r="C27" s="688" t="e">
        <f>VLOOKUP(B26,Уч!$A$2:$L$34,5,FALSE)</f>
        <v>#N/A</v>
      </c>
      <c r="D27" s="525" t="e">
        <f>VLOOKUP(B26,Уч!$A$2:$L$34,4,FALSE)</f>
        <v>#N/A</v>
      </c>
      <c r="E27" s="509" t="s">
        <v>25</v>
      </c>
      <c r="F27" s="672" t="e">
        <f>VLOOKUP($B26,'100 м 1'!$C$18:$I$87,6,FALSE)</f>
        <v>#N/A</v>
      </c>
      <c r="G27" s="672" t="e">
        <f>VLOOKUP($B26,'длина 2 '!$C$16:$O$54,12,FALSE)</f>
        <v>#N/A</v>
      </c>
      <c r="H27" s="523"/>
      <c r="I27" s="672"/>
      <c r="J27" s="673"/>
      <c r="K27" s="672">
        <f>VLOOKUP($B26,'1cб_р'!$C$17:$I$67,6,FALSE)</f>
        <v>0</v>
      </c>
      <c r="L27" s="672"/>
      <c r="M27" s="672"/>
      <c r="N27" s="523"/>
      <c r="O27" s="523"/>
      <c r="P27" s="695"/>
      <c r="Q27" s="674"/>
      <c r="R27" s="694" t="e">
        <f>CONCATENATE(AH26,"+",AI26,"+",5)</f>
        <v>#N/A</v>
      </c>
      <c r="S27" s="523">
        <f>B26</f>
        <v>54</v>
      </c>
      <c r="T27" s="287">
        <f>$A26</f>
        <v>3</v>
      </c>
      <c r="U27" s="287">
        <v>2</v>
      </c>
      <c r="V27" s="287" t="s">
        <v>162</v>
      </c>
      <c r="W27" s="449"/>
      <c r="X27" s="307"/>
      <c r="Y27" s="307"/>
      <c r="Z27" s="307"/>
      <c r="AA27" s="307"/>
      <c r="AB27" s="307"/>
      <c r="AC27" s="307"/>
      <c r="AD27" s="450"/>
      <c r="AE27" s="450"/>
      <c r="AF27" s="450"/>
      <c r="AI27" s="231"/>
      <c r="AJ27" s="404">
        <v>52</v>
      </c>
      <c r="AK27" s="231"/>
      <c r="AP27" s="287"/>
      <c r="AQ27" s="287"/>
      <c r="AR27" s="287"/>
      <c r="AS27" s="287"/>
      <c r="AT27" s="287"/>
      <c r="AU27" s="287"/>
      <c r="AV27" s="287"/>
      <c r="AW27" s="287"/>
      <c r="AX27" s="287"/>
      <c r="AY27" s="287"/>
    </row>
    <row r="28" spans="1:51" s="280" customFormat="1" x14ac:dyDescent="0.35">
      <c r="A28" s="686"/>
      <c r="B28" s="523"/>
      <c r="C28" s="689" t="e">
        <f>VLOOKUP(B26,Уч!$A$2:$L$34,7,FALSE)</f>
        <v>#N/A</v>
      </c>
      <c r="D28" s="525"/>
      <c r="E28" s="509" t="s">
        <v>29</v>
      </c>
      <c r="F28" s="523" t="e">
        <f>VLOOKUP($B26,'100 м 1'!$C$18:$I$87,7,FALSE)</f>
        <v>#N/A</v>
      </c>
      <c r="G28" s="523" t="e">
        <f>VLOOKUP($B26,'длина 2 '!$C$16:$O$54,13,FALSE)</f>
        <v>#N/A</v>
      </c>
      <c r="H28" s="523" t="e">
        <f>VLOOKUP($B26,'ядро 2'!$C$16:$K$60,9,FALSE)</f>
        <v>#N/A</v>
      </c>
      <c r="I28" s="523" t="e">
        <f>VLOOKUP($B26,'высота 2'!$C$16:$AF$57,30,)</f>
        <v>#N/A</v>
      </c>
      <c r="J28" s="526">
        <f>VLOOKUP($B26,'4_р'!$C$17:$H$73,6,FALSE)</f>
        <v>862</v>
      </c>
      <c r="K28" s="523">
        <f>VLOOKUP($B26,'1cб_р'!$C$17:$I$67,7,FALSE)</f>
        <v>899</v>
      </c>
      <c r="L28" s="523">
        <f>VLOOKUP($B26,Дс_р!$C$16:$K$70,9,FALSE)</f>
        <v>510</v>
      </c>
      <c r="M28" s="523">
        <f>VLOOKUP($B26,Ш_р!$C$15:$AF$69,30,FALSE)</f>
        <v>645</v>
      </c>
      <c r="N28" s="523">
        <f>VLOOKUP($B26,К_р!$C$15:$K$68,9,FALSE)</f>
        <v>567</v>
      </c>
      <c r="O28" s="523">
        <f>VLOOKUP($B26,'15_р'!$C$17:$H$86,6,FALSE)</f>
        <v>661</v>
      </c>
      <c r="P28" s="695"/>
      <c r="Q28" s="674"/>
      <c r="R28" s="695"/>
      <c r="S28" s="523">
        <f>B26</f>
        <v>54</v>
      </c>
      <c r="T28" s="287">
        <f>$A26</f>
        <v>3</v>
      </c>
      <c r="U28" s="287">
        <v>3</v>
      </c>
      <c r="V28" s="287" t="s">
        <v>162</v>
      </c>
      <c r="W28" s="449"/>
      <c r="X28" s="307"/>
      <c r="Y28" s="307"/>
      <c r="Z28" s="307"/>
      <c r="AA28" s="307"/>
      <c r="AB28" s="307"/>
      <c r="AC28" s="307"/>
      <c r="AD28" s="450"/>
      <c r="AE28" s="450"/>
      <c r="AF28" s="450"/>
      <c r="AH28" s="231"/>
      <c r="AI28" s="231"/>
      <c r="AJ28" s="404">
        <v>52</v>
      </c>
      <c r="AK28" s="231"/>
      <c r="AP28" s="287"/>
      <c r="AQ28" s="287"/>
      <c r="AR28" s="287"/>
      <c r="AS28" s="287"/>
      <c r="AT28" s="287"/>
      <c r="AU28" s="287"/>
      <c r="AV28" s="287"/>
      <c r="AW28" s="287"/>
      <c r="AX28" s="287"/>
      <c r="AY28" s="287"/>
    </row>
    <row r="29" spans="1:51" s="280" customFormat="1" x14ac:dyDescent="0.35">
      <c r="A29" s="686"/>
      <c r="B29" s="523"/>
      <c r="C29" s="688" t="e">
        <f>VLOOKUP(B26,Уч!$A$2:$L$34,11,FALSE)</f>
        <v>#N/A</v>
      </c>
      <c r="D29" s="525"/>
      <c r="E29" s="509" t="s">
        <v>276</v>
      </c>
      <c r="F29" s="523" t="e">
        <f>F28</f>
        <v>#N/A</v>
      </c>
      <c r="G29" s="523" t="e">
        <f>F29+G28</f>
        <v>#N/A</v>
      </c>
      <c r="H29" s="523" t="e">
        <f>G29+H28</f>
        <v>#N/A</v>
      </c>
      <c r="I29" s="523" t="e">
        <f>H29+I28</f>
        <v>#N/A</v>
      </c>
      <c r="J29" s="526" t="e">
        <f>SUM($F28:J28)</f>
        <v>#N/A</v>
      </c>
      <c r="K29" s="523" t="e">
        <f>SUM($F28:$K28)</f>
        <v>#N/A</v>
      </c>
      <c r="L29" s="523" t="e">
        <f>K29+L28</f>
        <v>#N/A</v>
      </c>
      <c r="M29" s="523" t="e">
        <f>L29+M28</f>
        <v>#N/A</v>
      </c>
      <c r="N29" s="523" t="e">
        <f>SUM($F28:$N28)</f>
        <v>#N/A</v>
      </c>
      <c r="O29" s="523" t="e">
        <f>SUM($F28:$O28)</f>
        <v>#N/A</v>
      </c>
      <c r="P29" s="695"/>
      <c r="Q29" s="674"/>
      <c r="R29" s="695"/>
      <c r="S29" s="523">
        <f>B26</f>
        <v>54</v>
      </c>
      <c r="T29" s="287">
        <f>$A26</f>
        <v>3</v>
      </c>
      <c r="U29" s="287">
        <v>4</v>
      </c>
      <c r="V29" s="287" t="s">
        <v>162</v>
      </c>
      <c r="W29" s="372" t="e">
        <f t="shared" ref="W29:AF29" si="2">F29</f>
        <v>#N/A</v>
      </c>
      <c r="X29" s="372" t="e">
        <f t="shared" si="2"/>
        <v>#N/A</v>
      </c>
      <c r="Y29" s="372" t="e">
        <f t="shared" si="2"/>
        <v>#N/A</v>
      </c>
      <c r="Z29" s="372" t="e">
        <f t="shared" si="2"/>
        <v>#N/A</v>
      </c>
      <c r="AA29" s="372" t="e">
        <f t="shared" si="2"/>
        <v>#N/A</v>
      </c>
      <c r="AB29" s="372" t="e">
        <f t="shared" si="2"/>
        <v>#N/A</v>
      </c>
      <c r="AC29" s="372" t="e">
        <f t="shared" si="2"/>
        <v>#N/A</v>
      </c>
      <c r="AD29" s="372" t="e">
        <f t="shared" si="2"/>
        <v>#N/A</v>
      </c>
      <c r="AE29" s="372" t="e">
        <f t="shared" si="2"/>
        <v>#N/A</v>
      </c>
      <c r="AF29" s="372" t="e">
        <f t="shared" si="2"/>
        <v>#N/A</v>
      </c>
      <c r="AH29" s="231"/>
      <c r="AI29" s="231"/>
      <c r="AJ29" s="404">
        <v>52</v>
      </c>
      <c r="AK29" s="231"/>
      <c r="AP29" s="287"/>
      <c r="AQ29" s="287"/>
      <c r="AR29" s="287"/>
      <c r="AS29" s="287"/>
      <c r="AT29" s="287"/>
      <c r="AU29" s="287"/>
      <c r="AV29" s="287"/>
      <c r="AW29" s="287"/>
      <c r="AX29" s="287"/>
      <c r="AY29" s="287"/>
    </row>
    <row r="30" spans="1:51" s="280" customFormat="1" x14ac:dyDescent="0.25">
      <c r="A30" s="625"/>
      <c r="B30" s="698"/>
      <c r="C30" s="691"/>
      <c r="D30" s="703"/>
      <c r="E30" s="692" t="s">
        <v>59</v>
      </c>
      <c r="F30" s="698" t="e">
        <f>RANK(F29,$W$19:$W$135,0)</f>
        <v>#N/A</v>
      </c>
      <c r="G30" s="698" t="e">
        <f>RANK(G29,$X$19:$X$135,0)</f>
        <v>#N/A</v>
      </c>
      <c r="H30" s="698" t="e">
        <f>RANK(H29,$Y$19:$Y$135,0)</f>
        <v>#N/A</v>
      </c>
      <c r="I30" s="698" t="e">
        <f>RANK(I29,$Z$19:$Z$40,0)</f>
        <v>#N/A</v>
      </c>
      <c r="J30" s="700" t="e">
        <f>RANK(J29,$AA$19:$AA$110,0)</f>
        <v>#N/A</v>
      </c>
      <c r="K30" s="698" t="e">
        <f>RANK(K29,$AB$19:$AB$109,0)</f>
        <v>#N/A</v>
      </c>
      <c r="L30" s="698" t="e">
        <f>RANK(L29,$AC$19:$AC$115,0)</f>
        <v>#N/A</v>
      </c>
      <c r="M30" s="698" t="e">
        <f>RANK(M29,$AD$19:$AD$40,0)</f>
        <v>#N/A</v>
      </c>
      <c r="N30" s="698" t="e">
        <f>RANK(N29,$AE$19:$AE$135,0)</f>
        <v>#N/A</v>
      </c>
      <c r="O30" s="698" t="e">
        <f>RANK(O29,$AF$19:$AF$40,0)</f>
        <v>#N/A</v>
      </c>
      <c r="P30" s="648"/>
      <c r="Q30" s="701"/>
      <c r="R30" s="696"/>
      <c r="S30" s="675">
        <f>B26</f>
        <v>54</v>
      </c>
      <c r="T30" s="287">
        <f>$A26</f>
        <v>3</v>
      </c>
      <c r="U30" s="287">
        <v>5</v>
      </c>
      <c r="V30" s="287" t="s">
        <v>162</v>
      </c>
      <c r="W30" s="449"/>
      <c r="X30" s="307"/>
      <c r="Y30" s="307"/>
      <c r="Z30" s="307"/>
      <c r="AA30" s="307"/>
      <c r="AB30" s="307"/>
      <c r="AC30" s="307"/>
      <c r="AD30" s="450"/>
      <c r="AE30" s="450"/>
      <c r="AF30" s="450"/>
      <c r="AH30" s="231"/>
      <c r="AI30" s="231"/>
      <c r="AJ30" s="404">
        <v>52</v>
      </c>
      <c r="AK30" s="231"/>
      <c r="AP30" s="287"/>
      <c r="AQ30" s="287"/>
      <c r="AR30" s="287"/>
      <c r="AS30" s="287"/>
      <c r="AT30" s="287"/>
      <c r="AU30" s="287"/>
      <c r="AV30" s="287"/>
      <c r="AW30" s="287"/>
      <c r="AX30" s="287"/>
      <c r="AY30" s="287"/>
    </row>
    <row r="31" spans="1:51" s="280" customFormat="1" x14ac:dyDescent="0.35">
      <c r="A31" s="686">
        <v>4</v>
      </c>
      <c r="B31" s="523">
        <v>2</v>
      </c>
      <c r="C31" s="690" t="str">
        <f>VLOOKUP(B31,Уч!$A$2:$L$34,2,FALSE)</f>
        <v>Игнашев Владимир</v>
      </c>
      <c r="D31" s="528" t="str">
        <f>VLOOKUP(B31,Уч!$A$2:$L$34,3,FALSE)</f>
        <v>05.10.1996</v>
      </c>
      <c r="E31" s="509" t="s">
        <v>19</v>
      </c>
      <c r="F31" s="670">
        <f>VLOOKUP($B31,'100 м 1'!$C$18:$I$87,5,FALSE)</f>
        <v>11.13</v>
      </c>
      <c r="G31" s="670" t="e">
        <f>VLOOKUP($B31,'длина 2 '!$C$16:$O$54,11,FALSE)</f>
        <v>#N/A</v>
      </c>
      <c r="H31" s="670" t="e">
        <f>VLOOKUP($B31,'ядро 2'!$C$16:$K$60,8,FALSE)</f>
        <v>#N/A</v>
      </c>
      <c r="I31" s="670" t="e">
        <f>VLOOKUP($B31,'высота 2'!$C$16:$AF$57,29,FALSE)</f>
        <v>#N/A</v>
      </c>
      <c r="J31" s="671">
        <f>VLOOKUP($B31,'4_р'!$C$17:$H$73,5,FALSE)</f>
        <v>49.89</v>
      </c>
      <c r="K31" s="670">
        <f>VLOOKUP($B31,'1cб_р'!$C$17:$I$67,5,FALSE)</f>
        <v>15.7</v>
      </c>
      <c r="L31" s="670">
        <f>VLOOKUP($B31,Дс_р!$C$16:$K$70,8,FALSE)</f>
        <v>32.450000000000003</v>
      </c>
      <c r="M31" s="670">
        <f>VLOOKUP($B31,Ш_р!$C$15:$AF$69,29,FALSE)</f>
        <v>4</v>
      </c>
      <c r="N31" s="670">
        <f>VLOOKUP($B31,К_р!$C$15:$K$68,8,FALSE)</f>
        <v>47.1</v>
      </c>
      <c r="O31" s="523" t="str">
        <f>VLOOKUP($B31,'15_р'!$C$17:$H$86,5,FALSE)</f>
        <v>4:22.85</v>
      </c>
      <c r="P31" s="695" t="e">
        <f>SUM(F33:O33)</f>
        <v>#N/A</v>
      </c>
      <c r="Q31" s="522" t="e">
        <f>LOOKUP(P31,Y$1:AH$1,Y$2:AH$2)</f>
        <v>#N/A</v>
      </c>
      <c r="R31" s="694" t="e">
        <f>AH31+AI31+5</f>
        <v>#N/A</v>
      </c>
      <c r="S31" s="523">
        <f>B31</f>
        <v>2</v>
      </c>
      <c r="T31" s="287">
        <f>$A31</f>
        <v>4</v>
      </c>
      <c r="U31" s="287">
        <v>1</v>
      </c>
      <c r="V31" s="287" t="s">
        <v>162</v>
      </c>
      <c r="W31" s="449"/>
      <c r="X31" s="307"/>
      <c r="Y31" s="307"/>
      <c r="Z31" s="307"/>
      <c r="AA31" s="307"/>
      <c r="AB31" s="307"/>
      <c r="AC31" s="307"/>
      <c r="AD31" s="450"/>
      <c r="AE31" s="450"/>
      <c r="AF31" s="450"/>
      <c r="AH31" s="280" t="e">
        <f>IF(AND(T31&gt;16,P31&gt;=6200),"1",LOOKUP(T31,Y$5:AO$5,Y$6:AO$6))</f>
        <v>#N/A</v>
      </c>
      <c r="AI31" s="280" t="e">
        <f>LOOKUP(Q31,Y$8:AD$8,Y$9:AD$9)</f>
        <v>#N/A</v>
      </c>
      <c r="AJ31" s="404">
        <v>99</v>
      </c>
      <c r="AK31" s="231"/>
    </row>
    <row r="32" spans="1:51" s="280" customFormat="1" x14ac:dyDescent="0.35">
      <c r="A32" s="686"/>
      <c r="B32" s="523"/>
      <c r="C32" s="688" t="str">
        <f>VLOOKUP(B31,Уч!$A$2:$L$34,5,FALSE)</f>
        <v xml:space="preserve">Ростовская область  </v>
      </c>
      <c r="D32" s="525" t="str">
        <f>VLOOKUP(B31,Уч!$A$2:$L$34,4,FALSE)</f>
        <v>МС</v>
      </c>
      <c r="E32" s="509" t="s">
        <v>25</v>
      </c>
      <c r="F32" s="672">
        <f>VLOOKUP($B31,'100 м 1'!$C$18:$I$87,6,FALSE)</f>
        <v>0</v>
      </c>
      <c r="G32" s="672" t="e">
        <f>VLOOKUP($B31,'длина 2 '!$C$16:$O$54,12,FALSE)</f>
        <v>#N/A</v>
      </c>
      <c r="H32" s="523"/>
      <c r="I32" s="672"/>
      <c r="J32" s="673"/>
      <c r="K32" s="672">
        <f>VLOOKUP($B31,'1cб_р'!$C$17:$I$67,6,FALSE)</f>
        <v>0</v>
      </c>
      <c r="L32" s="672"/>
      <c r="M32" s="672"/>
      <c r="N32" s="523"/>
      <c r="O32" s="523"/>
      <c r="P32" s="695"/>
      <c r="Q32" s="674"/>
      <c r="R32" s="694" t="e">
        <f>CONCATENATE(AH31,"+",AI31,"+",5)</f>
        <v>#N/A</v>
      </c>
      <c r="S32" s="523">
        <f>B31</f>
        <v>2</v>
      </c>
      <c r="T32" s="287">
        <f>$A31</f>
        <v>4</v>
      </c>
      <c r="U32" s="287">
        <v>2</v>
      </c>
      <c r="V32" s="287" t="s">
        <v>162</v>
      </c>
      <c r="W32" s="449"/>
      <c r="X32" s="307"/>
      <c r="Y32" s="307"/>
      <c r="Z32" s="307"/>
      <c r="AA32" s="307"/>
      <c r="AB32" s="307"/>
      <c r="AC32" s="307"/>
      <c r="AD32" s="450"/>
      <c r="AE32" s="450"/>
      <c r="AF32" s="450"/>
      <c r="AH32" s="231"/>
      <c r="AI32" s="231"/>
      <c r="AJ32" s="404">
        <v>99</v>
      </c>
      <c r="AK32" s="231"/>
    </row>
    <row r="33" spans="1:37" s="280" customFormat="1" x14ac:dyDescent="0.35">
      <c r="A33" s="686"/>
      <c r="B33" s="523"/>
      <c r="C33" s="689" t="str">
        <f>VLOOKUP(B31,Уч!$A$2:$L$34,7,FALSE)</f>
        <v>ГБУ РО "СШОР №8" г.Ростов-на-Дону</v>
      </c>
      <c r="D33" s="525"/>
      <c r="E33" s="509" t="s">
        <v>29</v>
      </c>
      <c r="F33" s="523">
        <f>VLOOKUP($B31,'100 м 1'!$C$18:$I$87,7,FALSE)</f>
        <v>832</v>
      </c>
      <c r="G33" s="523" t="e">
        <f>VLOOKUP($B31,'длина 2 '!$C$16:$O$54,13,FALSE)</f>
        <v>#N/A</v>
      </c>
      <c r="H33" s="523" t="e">
        <f>VLOOKUP($B31,'ядро 2'!$C$16:$K$60,9,FALSE)</f>
        <v>#N/A</v>
      </c>
      <c r="I33" s="523" t="e">
        <f>VLOOKUP($B31,'высота 2'!$C$16:$AF$57,30,)</f>
        <v>#N/A</v>
      </c>
      <c r="J33" s="526">
        <f>VLOOKUP($B31,'4_р'!$C$17:$H$73,6,FALSE)</f>
        <v>820</v>
      </c>
      <c r="K33" s="523">
        <f>VLOOKUP($B31,'1cб_р'!$C$17:$I$67,7,FALSE)</f>
        <v>767</v>
      </c>
      <c r="L33" s="523">
        <f>VLOOKUP($B31,Дс_р!$C$16:$K$70,9,FALSE)</f>
        <v>513</v>
      </c>
      <c r="M33" s="523">
        <f>VLOOKUP($B31,Ш_р!$C$15:$AF$69,30,FALSE)</f>
        <v>617</v>
      </c>
      <c r="N33" s="523">
        <f>VLOOKUP($B31,К_р!$C$15:$K$68,9,FALSE)</f>
        <v>546</v>
      </c>
      <c r="O33" s="523">
        <f>VLOOKUP($B31,'15_р'!$C$17:$H$86,6,FALSE)</f>
        <v>792</v>
      </c>
      <c r="P33" s="695"/>
      <c r="Q33" s="676"/>
      <c r="R33" s="695"/>
      <c r="S33" s="523">
        <f>B31</f>
        <v>2</v>
      </c>
      <c r="T33" s="287">
        <f>$A31</f>
        <v>4</v>
      </c>
      <c r="U33" s="287">
        <v>3</v>
      </c>
      <c r="V33" s="287" t="s">
        <v>162</v>
      </c>
      <c r="W33" s="449"/>
      <c r="X33" s="307"/>
      <c r="Y33" s="307"/>
      <c r="Z33" s="307"/>
      <c r="AA33" s="307"/>
      <c r="AB33" s="307"/>
      <c r="AC33" s="307"/>
      <c r="AD33" s="450"/>
      <c r="AE33" s="450"/>
      <c r="AF33" s="450"/>
      <c r="AH33" s="231"/>
      <c r="AI33" s="231"/>
      <c r="AJ33" s="404">
        <v>99</v>
      </c>
      <c r="AK33" s="231"/>
    </row>
    <row r="34" spans="1:37" s="280" customFormat="1" x14ac:dyDescent="0.35">
      <c r="A34" s="686"/>
      <c r="B34" s="523"/>
      <c r="C34" s="688" t="str">
        <f>VLOOKUP(B31,Уч!$A$2:$L$34,11,FALSE)</f>
        <v>Болдырева И.А., Сретенцев В.В.</v>
      </c>
      <c r="D34" s="525"/>
      <c r="E34" s="509" t="s">
        <v>276</v>
      </c>
      <c r="F34" s="523">
        <f>F33</f>
        <v>832</v>
      </c>
      <c r="G34" s="523" t="e">
        <f>F34+G33</f>
        <v>#N/A</v>
      </c>
      <c r="H34" s="523" t="e">
        <f>G34+H33</f>
        <v>#N/A</v>
      </c>
      <c r="I34" s="523" t="e">
        <f>H34+I33</f>
        <v>#N/A</v>
      </c>
      <c r="J34" s="526" t="e">
        <f>SUM($F33:J33)</f>
        <v>#N/A</v>
      </c>
      <c r="K34" s="523" t="e">
        <f>SUM($F33:$K33)</f>
        <v>#N/A</v>
      </c>
      <c r="L34" s="523" t="e">
        <f>K34+L33</f>
        <v>#N/A</v>
      </c>
      <c r="M34" s="523" t="e">
        <f>L34+M33</f>
        <v>#N/A</v>
      </c>
      <c r="N34" s="523" t="e">
        <f>SUM($F33:$N33)</f>
        <v>#N/A</v>
      </c>
      <c r="O34" s="523" t="e">
        <f>SUM($F33:$O33)</f>
        <v>#N/A</v>
      </c>
      <c r="P34" s="695"/>
      <c r="Q34" s="676"/>
      <c r="R34" s="695"/>
      <c r="S34" s="523">
        <f>B31</f>
        <v>2</v>
      </c>
      <c r="T34" s="287">
        <f>$A31</f>
        <v>4</v>
      </c>
      <c r="U34" s="287">
        <v>4</v>
      </c>
      <c r="V34" s="287" t="s">
        <v>162</v>
      </c>
      <c r="W34" s="372">
        <f t="shared" ref="W34:AF34" si="3">F34</f>
        <v>832</v>
      </c>
      <c r="X34" s="372" t="e">
        <f t="shared" si="3"/>
        <v>#N/A</v>
      </c>
      <c r="Y34" s="372" t="e">
        <f t="shared" si="3"/>
        <v>#N/A</v>
      </c>
      <c r="Z34" s="372" t="e">
        <f t="shared" si="3"/>
        <v>#N/A</v>
      </c>
      <c r="AA34" s="372" t="e">
        <f t="shared" si="3"/>
        <v>#N/A</v>
      </c>
      <c r="AB34" s="372" t="e">
        <f t="shared" si="3"/>
        <v>#N/A</v>
      </c>
      <c r="AC34" s="372" t="e">
        <f t="shared" si="3"/>
        <v>#N/A</v>
      </c>
      <c r="AD34" s="372" t="e">
        <f t="shared" si="3"/>
        <v>#N/A</v>
      </c>
      <c r="AE34" s="372" t="e">
        <f t="shared" si="3"/>
        <v>#N/A</v>
      </c>
      <c r="AF34" s="372" t="e">
        <f t="shared" si="3"/>
        <v>#N/A</v>
      </c>
      <c r="AH34" s="231"/>
      <c r="AI34" s="231"/>
      <c r="AJ34" s="404">
        <v>99</v>
      </c>
      <c r="AK34" s="231"/>
    </row>
    <row r="35" spans="1:37" s="280" customFormat="1" x14ac:dyDescent="0.25">
      <c r="A35" s="625"/>
      <c r="B35" s="698"/>
      <c r="C35" s="691"/>
      <c r="D35" s="703"/>
      <c r="E35" s="692" t="s">
        <v>59</v>
      </c>
      <c r="F35" s="698" t="e">
        <f>RANK(F34,$W$19:$W$135,0)</f>
        <v>#N/A</v>
      </c>
      <c r="G35" s="698" t="e">
        <f>RANK(G34,$X$19:$X$135,0)</f>
        <v>#N/A</v>
      </c>
      <c r="H35" s="698" t="e">
        <f>RANK(H34,$Y$19:$Y$135,0)</f>
        <v>#N/A</v>
      </c>
      <c r="I35" s="698" t="e">
        <f>RANK(I34,$Z$19:$Z$135,0)</f>
        <v>#N/A</v>
      </c>
      <c r="J35" s="700" t="e">
        <f>RANK(J34,$AA$19:$AA$110,0)</f>
        <v>#N/A</v>
      </c>
      <c r="K35" s="698" t="e">
        <f>RANK(K34,$AB$19:$AB$109,0)</f>
        <v>#N/A</v>
      </c>
      <c r="L35" s="698" t="e">
        <f>RANK(L34,$AC$19:$AC$115,0)</f>
        <v>#N/A</v>
      </c>
      <c r="M35" s="698" t="e">
        <f>RANK(M34,$AD$19:$AD$135,0)</f>
        <v>#N/A</v>
      </c>
      <c r="N35" s="698" t="e">
        <f>RANK(N34,$AE$19:$AE$135,0)</f>
        <v>#N/A</v>
      </c>
      <c r="O35" s="698" t="e">
        <f>RANK(O34,$AF$19:$AF$135,0)</f>
        <v>#N/A</v>
      </c>
      <c r="P35" s="648"/>
      <c r="Q35" s="701"/>
      <c r="R35" s="696"/>
      <c r="S35" s="675">
        <f>B31</f>
        <v>2</v>
      </c>
      <c r="T35" s="287">
        <f>$A31</f>
        <v>4</v>
      </c>
      <c r="U35" s="287">
        <v>5</v>
      </c>
      <c r="V35" s="287" t="s">
        <v>162</v>
      </c>
      <c r="W35" s="449"/>
      <c r="X35" s="307"/>
      <c r="Y35" s="307"/>
      <c r="Z35" s="307"/>
      <c r="AA35" s="307"/>
      <c r="AB35" s="307"/>
      <c r="AC35" s="307"/>
      <c r="AD35" s="450"/>
      <c r="AE35" s="450"/>
      <c r="AF35" s="450"/>
      <c r="AJ35" s="404">
        <v>99</v>
      </c>
      <c r="AK35" s="231"/>
    </row>
    <row r="36" spans="1:37" s="280" customFormat="1" hidden="1" x14ac:dyDescent="0.35">
      <c r="A36" s="686"/>
      <c r="B36" s="523">
        <v>41</v>
      </c>
      <c r="C36" s="690" t="str">
        <f>VLOOKUP(B36,Уч!$A$2:$L$34,2,FALSE)</f>
        <v>Фомичев Андрей</v>
      </c>
      <c r="D36" s="528" t="str">
        <f>VLOOKUP(B36,Уч!$A$2:$L$34,3,FALSE)</f>
        <v>15.12.1996</v>
      </c>
      <c r="E36" s="509" t="s">
        <v>19</v>
      </c>
      <c r="F36" s="670">
        <f>VLOOKUP($B36,'100 м 1'!$C$18:$I$87,5,FALSE)</f>
        <v>11.3</v>
      </c>
      <c r="G36" s="670" t="e">
        <f>VLOOKUP($B36,'длина 2 '!$C$16:$O$54,11,FALSE)</f>
        <v>#N/A</v>
      </c>
      <c r="H36" s="670" t="e">
        <f>VLOOKUP($B36,'ядро 2'!$C$16:$K$60,8,FALSE)</f>
        <v>#N/A</v>
      </c>
      <c r="I36" s="670">
        <f>VLOOKUP($B36,'высота 2'!$C$16:$AF$57,29,FALSE)</f>
        <v>2</v>
      </c>
      <c r="J36" s="671">
        <f>VLOOKUP($B36,'4_р'!$C$17:$H$73,5,FALSE)</f>
        <v>52.48</v>
      </c>
      <c r="K36" s="670">
        <f>VLOOKUP($B36,'1cб_р'!$C$17:$I$67,5,FALSE)</f>
        <v>16.12</v>
      </c>
      <c r="L36" s="670">
        <f>VLOOKUP($B36,Дс_р!$C$16:$K$70,8,FALSE)</f>
        <v>33.42</v>
      </c>
      <c r="M36" s="670">
        <f>VLOOKUP($B36,Ш_р!$C$15:$AF$69,29,FALSE)</f>
        <v>4.3</v>
      </c>
      <c r="N36" s="670">
        <f>VLOOKUP($B36,К_р!$C$15:$K$68,8,FALSE)</f>
        <v>46.12</v>
      </c>
      <c r="O36" s="523" t="str">
        <f>VLOOKUP($B36,'15_р'!$C$17:$H$86,5,FALSE)</f>
        <v>4:52.72</v>
      </c>
      <c r="P36" s="695" t="e">
        <f>SUM(F38:O38)</f>
        <v>#N/A</v>
      </c>
      <c r="Q36" s="522" t="e">
        <f>LOOKUP(P36,Y$1:AH$1,Y$2:AH$2)</f>
        <v>#N/A</v>
      </c>
      <c r="R36" s="694" t="e">
        <f>AH36+AI36+5</f>
        <v>#N/A</v>
      </c>
      <c r="S36" s="523">
        <f>B36</f>
        <v>41</v>
      </c>
      <c r="T36" s="287">
        <f>$A36</f>
        <v>0</v>
      </c>
      <c r="U36" s="287">
        <v>1</v>
      </c>
      <c r="V36" s="287" t="s">
        <v>162</v>
      </c>
      <c r="W36" s="449"/>
      <c r="X36" s="307"/>
      <c r="Y36" s="307"/>
      <c r="Z36" s="307"/>
      <c r="AA36" s="307"/>
      <c r="AB36" s="307"/>
      <c r="AC36" s="307"/>
      <c r="AD36" s="450"/>
      <c r="AE36" s="450"/>
      <c r="AF36" s="450"/>
      <c r="AH36" s="280" t="e">
        <f>IF(AND(T36&gt;16,P36&gt;=6200),"1",LOOKUP(T36,Y$5:AO$5,Y$6:AO$6))</f>
        <v>#N/A</v>
      </c>
      <c r="AI36" s="280" t="e">
        <f>LOOKUP(Q36,Y$8:AD$8,Y$9:AD$9)</f>
        <v>#N/A</v>
      </c>
      <c r="AJ36" s="404">
        <v>506</v>
      </c>
      <c r="AK36" s="231"/>
    </row>
    <row r="37" spans="1:37" s="280" customFormat="1" hidden="1" x14ac:dyDescent="0.35">
      <c r="A37" s="686"/>
      <c r="B37" s="523"/>
      <c r="C37" s="688" t="str">
        <f>VLOOKUP(B36,Уч!$A$2:$L$34,5,FALSE)</f>
        <v xml:space="preserve">Кемеровская область  </v>
      </c>
      <c r="D37" s="528" t="str">
        <f>VLOOKUP(B36,Уч!$A$2:$L$34,4,FALSE)</f>
        <v>МС</v>
      </c>
      <c r="E37" s="509" t="s">
        <v>25</v>
      </c>
      <c r="F37" s="672">
        <f>VLOOKUP($B36,'100 м 1'!$C$18:$I$87,6,FALSE)</f>
        <v>0.1</v>
      </c>
      <c r="G37" s="672" t="e">
        <f>VLOOKUP($B36,'длина 2 '!$C$16:$O$54,12,FALSE)</f>
        <v>#N/A</v>
      </c>
      <c r="H37" s="523"/>
      <c r="I37" s="672"/>
      <c r="J37" s="673"/>
      <c r="K37" s="672">
        <f>VLOOKUP($B36,'1cб_р'!$C$17:$I$67,6,FALSE)</f>
        <v>-1.5</v>
      </c>
      <c r="L37" s="672"/>
      <c r="M37" s="672"/>
      <c r="N37" s="523"/>
      <c r="O37" s="523"/>
      <c r="P37" s="695"/>
      <c r="Q37" s="674"/>
      <c r="R37" s="694" t="e">
        <f>CONCATENATE(AH36,"+",AI36,"+",5)</f>
        <v>#N/A</v>
      </c>
      <c r="S37" s="523">
        <f>B36</f>
        <v>41</v>
      </c>
      <c r="T37" s="287">
        <f>$A36</f>
        <v>0</v>
      </c>
      <c r="U37" s="287">
        <v>2</v>
      </c>
      <c r="V37" s="287" t="s">
        <v>162</v>
      </c>
      <c r="W37" s="449"/>
      <c r="X37" s="307"/>
      <c r="Y37" s="307"/>
      <c r="Z37" s="307"/>
      <c r="AA37" s="307"/>
      <c r="AB37" s="307"/>
      <c r="AC37" s="307"/>
      <c r="AD37" s="450"/>
      <c r="AE37" s="450"/>
      <c r="AF37" s="450"/>
      <c r="AH37" s="231"/>
      <c r="AI37" s="231"/>
      <c r="AJ37" s="404">
        <v>506</v>
      </c>
      <c r="AK37" s="231"/>
    </row>
    <row r="38" spans="1:37" s="280" customFormat="1" hidden="1" x14ac:dyDescent="0.35">
      <c r="A38" s="686"/>
      <c r="B38" s="523"/>
      <c r="C38" s="689" t="str">
        <f>VLOOKUP(B36,Уч!$A$2:$L$34,7,FALSE)</f>
        <v>ГБФСУ КО "СШОР по легкой атлетике им. В.А.Савенкова", ГАУ КО "ЦП ССК"</v>
      </c>
      <c r="D38" s="528"/>
      <c r="E38" s="509" t="s">
        <v>29</v>
      </c>
      <c r="F38" s="523">
        <f>VLOOKUP($B36,'100 м 1'!$C$18:$I$87,7,FALSE)</f>
        <v>795</v>
      </c>
      <c r="G38" s="523" t="e">
        <f>VLOOKUP($B36,'длина 2 '!$C$16:$O$54,13,FALSE)</f>
        <v>#N/A</v>
      </c>
      <c r="H38" s="523" t="e">
        <f>VLOOKUP($B36,'ядро 2'!$C$16:$K$60,9,FALSE)</f>
        <v>#N/A</v>
      </c>
      <c r="I38" s="523">
        <f>VLOOKUP($B36,'высота 2'!$C$16:$AF$57,30,)</f>
        <v>0</v>
      </c>
      <c r="J38" s="526">
        <f>VLOOKUP($B36,'4_р'!$C$17:$H$73,6,FALSE)</f>
        <v>704</v>
      </c>
      <c r="K38" s="523">
        <f>VLOOKUP($B36,'1cб_р'!$C$17:$I$67,7,FALSE)</f>
        <v>719</v>
      </c>
      <c r="L38" s="523">
        <f>VLOOKUP($B36,Дс_р!$C$16:$K$70,9,FALSE)</f>
        <v>532</v>
      </c>
      <c r="M38" s="523">
        <f>VLOOKUP($B36,Ш_р!$C$15:$AF$69,30,FALSE)</f>
        <v>702</v>
      </c>
      <c r="N38" s="523">
        <f>VLOOKUP($B36,К_р!$C$15:$K$68,9,FALSE)</f>
        <v>531</v>
      </c>
      <c r="O38" s="523">
        <f>VLOOKUP($B36,'15_р'!$C$17:$H$86,6,FALSE)</f>
        <v>602</v>
      </c>
      <c r="P38" s="695"/>
      <c r="Q38" s="650"/>
      <c r="R38" s="695"/>
      <c r="S38" s="523">
        <f>B36</f>
        <v>41</v>
      </c>
      <c r="T38" s="287">
        <f>$A36</f>
        <v>0</v>
      </c>
      <c r="U38" s="287">
        <v>3</v>
      </c>
      <c r="V38" s="287" t="s">
        <v>162</v>
      </c>
      <c r="W38" s="449"/>
      <c r="X38" s="307"/>
      <c r="Y38" s="307"/>
      <c r="Z38" s="307"/>
      <c r="AA38" s="307"/>
      <c r="AB38" s="307"/>
      <c r="AC38" s="307"/>
      <c r="AD38" s="450"/>
      <c r="AE38" s="450"/>
      <c r="AF38" s="450"/>
      <c r="AH38" s="231"/>
      <c r="AI38" s="231"/>
      <c r="AJ38" s="404">
        <v>506</v>
      </c>
      <c r="AK38" s="231"/>
    </row>
    <row r="39" spans="1:37" s="280" customFormat="1" hidden="1" x14ac:dyDescent="0.35">
      <c r="A39" s="686"/>
      <c r="B39" s="523"/>
      <c r="C39" s="688" t="str">
        <f>VLOOKUP(B36,Уч!$A$2:$L$34,11,FALSE)</f>
        <v>Хайлов С.Н., Фомичев В.Н.</v>
      </c>
      <c r="D39" s="528"/>
      <c r="E39" s="509" t="s">
        <v>276</v>
      </c>
      <c r="F39" s="523">
        <f>F38</f>
        <v>795</v>
      </c>
      <c r="G39" s="523" t="e">
        <f>F39+G38</f>
        <v>#N/A</v>
      </c>
      <c r="H39" s="523" t="e">
        <f>G39+H38</f>
        <v>#N/A</v>
      </c>
      <c r="I39" s="523" t="e">
        <f>H39+I38</f>
        <v>#N/A</v>
      </c>
      <c r="J39" s="526" t="e">
        <f>SUM($F38:J38)</f>
        <v>#N/A</v>
      </c>
      <c r="K39" s="523" t="e">
        <f>SUM($F38:$K38)</f>
        <v>#N/A</v>
      </c>
      <c r="L39" s="523" t="e">
        <f>K39+L38</f>
        <v>#N/A</v>
      </c>
      <c r="M39" s="523" t="e">
        <f>L39+M38</f>
        <v>#N/A</v>
      </c>
      <c r="N39" s="523" t="e">
        <f>SUM($F38:$N38)</f>
        <v>#N/A</v>
      </c>
      <c r="O39" s="523" t="e">
        <f>SUM($F38:$O38)</f>
        <v>#N/A</v>
      </c>
      <c r="P39" s="695"/>
      <c r="Q39" s="650"/>
      <c r="R39" s="695"/>
      <c r="S39" s="523">
        <f>B36</f>
        <v>41</v>
      </c>
      <c r="T39" s="287">
        <f>$A36</f>
        <v>0</v>
      </c>
      <c r="U39" s="287">
        <v>4</v>
      </c>
      <c r="V39" s="287" t="s">
        <v>162</v>
      </c>
      <c r="W39" s="372">
        <f t="shared" ref="W39:AF39" si="4">F39</f>
        <v>795</v>
      </c>
      <c r="X39" s="372" t="e">
        <f t="shared" si="4"/>
        <v>#N/A</v>
      </c>
      <c r="Y39" s="372" t="e">
        <f t="shared" si="4"/>
        <v>#N/A</v>
      </c>
      <c r="Z39" s="372" t="e">
        <f t="shared" si="4"/>
        <v>#N/A</v>
      </c>
      <c r="AA39" s="372" t="e">
        <f t="shared" si="4"/>
        <v>#N/A</v>
      </c>
      <c r="AB39" s="372" t="e">
        <f t="shared" si="4"/>
        <v>#N/A</v>
      </c>
      <c r="AC39" s="372" t="e">
        <f t="shared" si="4"/>
        <v>#N/A</v>
      </c>
      <c r="AD39" s="372" t="e">
        <f t="shared" si="4"/>
        <v>#N/A</v>
      </c>
      <c r="AE39" s="372" t="e">
        <f t="shared" si="4"/>
        <v>#N/A</v>
      </c>
      <c r="AF39" s="372" t="e">
        <f t="shared" si="4"/>
        <v>#N/A</v>
      </c>
      <c r="AH39" s="231"/>
      <c r="AI39" s="231"/>
      <c r="AJ39" s="404">
        <v>506</v>
      </c>
      <c r="AK39" s="231"/>
    </row>
    <row r="40" spans="1:37" s="280" customFormat="1" hidden="1" x14ac:dyDescent="0.25">
      <c r="A40" s="625"/>
      <c r="B40" s="698"/>
      <c r="C40" s="691"/>
      <c r="D40" s="699"/>
      <c r="E40" s="692" t="s">
        <v>59</v>
      </c>
      <c r="F40" s="698" t="e">
        <f>RANK(F39,$W$19:$W$135,0)</f>
        <v>#N/A</v>
      </c>
      <c r="G40" s="698" t="e">
        <f>RANK(G39,$X$19:$X$135,0)</f>
        <v>#N/A</v>
      </c>
      <c r="H40" s="698" t="e">
        <f>RANK(H39,$Y$19:$Y$135,0)</f>
        <v>#N/A</v>
      </c>
      <c r="I40" s="698" t="e">
        <f>RANK(I39,$Z$19:$Z$135,0)</f>
        <v>#N/A</v>
      </c>
      <c r="J40" s="700" t="e">
        <f>RANK(J39,$AA$19:$AA$110,0)</f>
        <v>#N/A</v>
      </c>
      <c r="K40" s="698" t="e">
        <f>RANK(K39,$AB$19:$AB$109,0)</f>
        <v>#N/A</v>
      </c>
      <c r="L40" s="698" t="e">
        <f>RANK(L39,$AC$19:$AC$115,0)</f>
        <v>#N/A</v>
      </c>
      <c r="M40" s="698" t="e">
        <f>RANK(M39,$AD$19:$AD$135,0)</f>
        <v>#N/A</v>
      </c>
      <c r="N40" s="698" t="e">
        <f>RANK(N39,$AE$19:$AE$135,0)</f>
        <v>#N/A</v>
      </c>
      <c r="O40" s="698" t="e">
        <f>RANK(O39,$AF$19:$AF$135,0)</f>
        <v>#N/A</v>
      </c>
      <c r="P40" s="648"/>
      <c r="Q40" s="701"/>
      <c r="R40" s="696"/>
      <c r="S40" s="675">
        <f>B36</f>
        <v>41</v>
      </c>
      <c r="T40" s="287">
        <f>$A36</f>
        <v>0</v>
      </c>
      <c r="U40" s="287">
        <v>5</v>
      </c>
      <c r="V40" s="287" t="s">
        <v>162</v>
      </c>
      <c r="W40" s="449"/>
      <c r="X40" s="307"/>
      <c r="Y40" s="307"/>
      <c r="Z40" s="307"/>
      <c r="AA40" s="307"/>
      <c r="AB40" s="307"/>
      <c r="AC40" s="307"/>
      <c r="AD40" s="450"/>
      <c r="AE40" s="450"/>
      <c r="AF40" s="450"/>
      <c r="AJ40" s="404">
        <v>506</v>
      </c>
      <c r="AK40" s="231"/>
    </row>
    <row r="41" spans="1:37" s="280" customFormat="1" x14ac:dyDescent="0.35">
      <c r="A41" s="686">
        <v>5</v>
      </c>
      <c r="B41" s="523">
        <v>26</v>
      </c>
      <c r="C41" s="690" t="e">
        <f>VLOOKUP(B41,Уч!$A$2:$L$34,2,FALSE)</f>
        <v>#N/A</v>
      </c>
      <c r="D41" s="528" t="e">
        <f>VLOOKUP(B41,Уч!$A$2:$L$34,3,FALSE)</f>
        <v>#N/A</v>
      </c>
      <c r="E41" s="509" t="s">
        <v>19</v>
      </c>
      <c r="F41" s="670" t="e">
        <f>VLOOKUP($B41,'100 м 1'!$C$18:$I$87,5,FALSE)</f>
        <v>#N/A</v>
      </c>
      <c r="G41" s="670" t="e">
        <f>VLOOKUP($B41,'длина 2 '!$C$16:$O$54,11,FALSE)</f>
        <v>#N/A</v>
      </c>
      <c r="H41" s="670" t="e">
        <f>VLOOKUP($B41,'ядро 2'!$C$16:$K$60,8,FALSE)</f>
        <v>#N/A</v>
      </c>
      <c r="I41" s="670" t="e">
        <f>VLOOKUP($B41,'высота 2'!$C$16:$AF$57,29,FALSE)</f>
        <v>#N/A</v>
      </c>
      <c r="J41" s="671">
        <f>VLOOKUP($B41,'4_р'!$C$17:$H$73,5,FALSE)</f>
        <v>54.6</v>
      </c>
      <c r="K41" s="670">
        <f>VLOOKUP($B41,'1cб_р'!$C$17:$I$67,5,FALSE)</f>
        <v>16.239999999999998</v>
      </c>
      <c r="L41" s="670">
        <f>VLOOKUP($B41,Дс_р!$C$16:$K$70,8,FALSE)</f>
        <v>41.15</v>
      </c>
      <c r="M41" s="670">
        <f>VLOOKUP($B41,Ш_р!$C$15:$AF$69,29,FALSE)</f>
        <v>4.3</v>
      </c>
      <c r="N41" s="670">
        <f>VLOOKUP($B41,К_р!$C$15:$K$68,8,FALSE)</f>
        <v>51.82</v>
      </c>
      <c r="O41" s="523" t="str">
        <f>VLOOKUP($B41,'15_р'!$C$17:$H$86,5,FALSE)</f>
        <v>4:52.09</v>
      </c>
      <c r="P41" s="695" t="e">
        <f>SUM(F43:O43)</f>
        <v>#N/A</v>
      </c>
      <c r="Q41" s="522" t="e">
        <f>LOOKUP(P41,Y$1:AH$1,Y$2:AH$2)</f>
        <v>#N/A</v>
      </c>
      <c r="R41" s="694" t="e">
        <f>AH41+AI41+5</f>
        <v>#N/A</v>
      </c>
      <c r="S41" s="523">
        <f>B41</f>
        <v>26</v>
      </c>
      <c r="T41" s="287">
        <f>$A41</f>
        <v>5</v>
      </c>
      <c r="U41" s="287">
        <v>1</v>
      </c>
      <c r="V41" s="287">
        <f>$A41</f>
        <v>5</v>
      </c>
      <c r="W41" s="449"/>
      <c r="X41" s="307"/>
      <c r="Y41" s="307"/>
      <c r="Z41" s="307"/>
      <c r="AA41" s="307"/>
      <c r="AB41" s="307"/>
      <c r="AC41" s="307"/>
      <c r="AD41" s="450"/>
      <c r="AE41" s="450"/>
      <c r="AF41" s="450"/>
      <c r="AH41" s="280" t="e">
        <f>IF(AND(T41&gt;16,P41&gt;=6200),"1",LOOKUP(T41,Y$5:AO$5,Y$6:AO$6))</f>
        <v>#N/A</v>
      </c>
      <c r="AI41" s="280" t="e">
        <f>LOOKUP(Q41,Y$8:AD$8,Y$9:AD$9)</f>
        <v>#N/A</v>
      </c>
      <c r="AJ41" s="404">
        <v>452</v>
      </c>
      <c r="AK41" s="231"/>
    </row>
    <row r="42" spans="1:37" s="280" customFormat="1" x14ac:dyDescent="0.35">
      <c r="A42" s="686"/>
      <c r="B42" s="523"/>
      <c r="C42" s="688" t="e">
        <f>VLOOKUP(B41,Уч!$A$2:$L$34,5,FALSE)</f>
        <v>#N/A</v>
      </c>
      <c r="D42" s="528" t="e">
        <f>VLOOKUP(B41,Уч!$A$2:$L$34,4,FALSE)</f>
        <v>#N/A</v>
      </c>
      <c r="E42" s="509" t="s">
        <v>25</v>
      </c>
      <c r="F42" s="672" t="e">
        <f>VLOOKUP($B41,'100 м 1'!$C$18:$I$87,6,FALSE)</f>
        <v>#N/A</v>
      </c>
      <c r="G42" s="672" t="e">
        <f>VLOOKUP($B41,'длина 2 '!$C$16:$O$54,12,FALSE)</f>
        <v>#N/A</v>
      </c>
      <c r="H42" s="523"/>
      <c r="I42" s="672"/>
      <c r="J42" s="673"/>
      <c r="K42" s="672">
        <f>VLOOKUP($B41,'1cб_р'!$C$17:$I$67,6,FALSE)</f>
        <v>-1</v>
      </c>
      <c r="L42" s="672"/>
      <c r="M42" s="672"/>
      <c r="N42" s="523"/>
      <c r="O42" s="523"/>
      <c r="P42" s="695"/>
      <c r="Q42" s="674"/>
      <c r="R42" s="694" t="e">
        <f>CONCATENATE(AH41,"+",AI41,"+",5)</f>
        <v>#N/A</v>
      </c>
      <c r="S42" s="523">
        <f>B41</f>
        <v>26</v>
      </c>
      <c r="T42" s="287">
        <f>$A41</f>
        <v>5</v>
      </c>
      <c r="U42" s="287">
        <v>2</v>
      </c>
      <c r="V42" s="287">
        <f>$A41</f>
        <v>5</v>
      </c>
      <c r="W42" s="449"/>
      <c r="X42" s="307"/>
      <c r="Y42" s="307"/>
      <c r="Z42" s="307"/>
      <c r="AA42" s="307"/>
      <c r="AB42" s="307"/>
      <c r="AC42" s="307"/>
      <c r="AD42" s="450"/>
      <c r="AE42" s="450"/>
      <c r="AF42" s="450"/>
      <c r="AH42" s="231"/>
      <c r="AI42" s="231"/>
      <c r="AJ42" s="404">
        <v>452</v>
      </c>
      <c r="AK42" s="231"/>
    </row>
    <row r="43" spans="1:37" s="280" customFormat="1" x14ac:dyDescent="0.35">
      <c r="A43" s="686"/>
      <c r="B43" s="523"/>
      <c r="C43" s="689" t="e">
        <f>VLOOKUP(B41,Уч!$A$2:$L$34,7,FALSE)</f>
        <v>#N/A</v>
      </c>
      <c r="D43" s="528"/>
      <c r="E43" s="509" t="s">
        <v>29</v>
      </c>
      <c r="F43" s="523" t="e">
        <f>VLOOKUP($B41,'100 м 1'!$C$18:$I$87,7,FALSE)</f>
        <v>#N/A</v>
      </c>
      <c r="G43" s="523" t="e">
        <f>VLOOKUP($B41,'длина 2 '!$C$16:$O$54,13,FALSE)</f>
        <v>#N/A</v>
      </c>
      <c r="H43" s="523" t="e">
        <f>VLOOKUP($B41,'ядро 2'!$C$16:$K$60,9,FALSE)</f>
        <v>#N/A</v>
      </c>
      <c r="I43" s="523" t="e">
        <f>VLOOKUP($B41,'высота 2'!$C$16:$AF$57,30,)</f>
        <v>#N/A</v>
      </c>
      <c r="J43" s="526">
        <f>VLOOKUP($B41,'4_р'!$C$17:$H$73,6,FALSE)</f>
        <v>615</v>
      </c>
      <c r="K43" s="523">
        <f>VLOOKUP($B41,'1cб_р'!$C$17:$I$67,7,FALSE)</f>
        <v>706</v>
      </c>
      <c r="L43" s="523">
        <f>VLOOKUP($B41,Дс_р!$C$16:$K$70,9,FALSE)</f>
        <v>688</v>
      </c>
      <c r="M43" s="523">
        <f>VLOOKUP($B41,Ш_р!$C$15:$AF$69,30,FALSE)</f>
        <v>702</v>
      </c>
      <c r="N43" s="523">
        <f>VLOOKUP($B41,К_р!$C$15:$K$68,9,FALSE)</f>
        <v>616</v>
      </c>
      <c r="O43" s="523">
        <f>VLOOKUP($B41,'15_р'!$C$17:$H$86,6,FALSE)</f>
        <v>606</v>
      </c>
      <c r="P43" s="695"/>
      <c r="Q43" s="676"/>
      <c r="R43" s="695"/>
      <c r="S43" s="523">
        <f>B41</f>
        <v>26</v>
      </c>
      <c r="T43" s="287">
        <f>$A41</f>
        <v>5</v>
      </c>
      <c r="U43" s="287">
        <v>3</v>
      </c>
      <c r="V43" s="287">
        <f>$A41</f>
        <v>5</v>
      </c>
      <c r="W43" s="449"/>
      <c r="X43" s="307"/>
      <c r="Y43" s="307"/>
      <c r="Z43" s="307"/>
      <c r="AA43" s="307"/>
      <c r="AB43" s="307"/>
      <c r="AC43" s="307"/>
      <c r="AD43" s="450"/>
      <c r="AE43" s="450"/>
      <c r="AF43" s="450"/>
      <c r="AH43" s="231"/>
      <c r="AI43" s="231"/>
      <c r="AJ43" s="404">
        <v>452</v>
      </c>
      <c r="AK43" s="231"/>
    </row>
    <row r="44" spans="1:37" s="280" customFormat="1" x14ac:dyDescent="0.35">
      <c r="A44" s="686"/>
      <c r="B44" s="523"/>
      <c r="C44" s="688" t="e">
        <f>VLOOKUP(B41,Уч!$A$2:$L$34,11,FALSE)</f>
        <v>#N/A</v>
      </c>
      <c r="D44" s="528"/>
      <c r="E44" s="509" t="s">
        <v>276</v>
      </c>
      <c r="F44" s="523" t="e">
        <f>F43</f>
        <v>#N/A</v>
      </c>
      <c r="G44" s="523" t="e">
        <f>F44+G43</f>
        <v>#N/A</v>
      </c>
      <c r="H44" s="523" t="e">
        <f>G44+H43</f>
        <v>#N/A</v>
      </c>
      <c r="I44" s="523" t="e">
        <f>H44+I43</f>
        <v>#N/A</v>
      </c>
      <c r="J44" s="526" t="e">
        <f>SUM($F43:J43)</f>
        <v>#N/A</v>
      </c>
      <c r="K44" s="523" t="e">
        <f>SUM($F43:$K43)</f>
        <v>#N/A</v>
      </c>
      <c r="L44" s="523" t="e">
        <f>K44+L43</f>
        <v>#N/A</v>
      </c>
      <c r="M44" s="523" t="e">
        <f>L44+M43</f>
        <v>#N/A</v>
      </c>
      <c r="N44" s="523" t="e">
        <f>SUM($F43:$N43)</f>
        <v>#N/A</v>
      </c>
      <c r="O44" s="523" t="e">
        <f>SUM($F43:$O43)</f>
        <v>#N/A</v>
      </c>
      <c r="P44" s="695"/>
      <c r="Q44" s="674"/>
      <c r="R44" s="695"/>
      <c r="S44" s="523">
        <f>B41</f>
        <v>26</v>
      </c>
      <c r="T44" s="287">
        <f>$A41</f>
        <v>5</v>
      </c>
      <c r="U44" s="287">
        <v>4</v>
      </c>
      <c r="V44" s="287">
        <f>$A41</f>
        <v>5</v>
      </c>
      <c r="W44" s="372" t="e">
        <f t="shared" ref="W44:AF44" si="5">F44</f>
        <v>#N/A</v>
      </c>
      <c r="X44" s="372" t="e">
        <f t="shared" si="5"/>
        <v>#N/A</v>
      </c>
      <c r="Y44" s="372" t="e">
        <f t="shared" si="5"/>
        <v>#N/A</v>
      </c>
      <c r="Z44" s="372" t="e">
        <f t="shared" si="5"/>
        <v>#N/A</v>
      </c>
      <c r="AA44" s="372" t="e">
        <f t="shared" si="5"/>
        <v>#N/A</v>
      </c>
      <c r="AB44" s="372" t="e">
        <f t="shared" si="5"/>
        <v>#N/A</v>
      </c>
      <c r="AC44" s="372" t="e">
        <f t="shared" si="5"/>
        <v>#N/A</v>
      </c>
      <c r="AD44" s="372" t="e">
        <f t="shared" si="5"/>
        <v>#N/A</v>
      </c>
      <c r="AE44" s="372" t="e">
        <f t="shared" si="5"/>
        <v>#N/A</v>
      </c>
      <c r="AF44" s="372" t="e">
        <f t="shared" si="5"/>
        <v>#N/A</v>
      </c>
      <c r="AH44" s="231"/>
      <c r="AI44" s="231"/>
      <c r="AJ44" s="404">
        <v>452</v>
      </c>
      <c r="AK44" s="231"/>
    </row>
    <row r="45" spans="1:37" s="280" customFormat="1" x14ac:dyDescent="0.25">
      <c r="A45" s="625"/>
      <c r="B45" s="698"/>
      <c r="C45" s="691"/>
      <c r="D45" s="699"/>
      <c r="E45" s="692" t="s">
        <v>59</v>
      </c>
      <c r="F45" s="698" t="e">
        <f>RANK(F44,$W$19:$W$135,0)</f>
        <v>#N/A</v>
      </c>
      <c r="G45" s="698" t="e">
        <f>RANK(G44,$X$19:$X$135,0)</f>
        <v>#N/A</v>
      </c>
      <c r="H45" s="698" t="e">
        <f>RANK(H44,$Y$19:$Y$135,0)</f>
        <v>#N/A</v>
      </c>
      <c r="I45" s="698" t="e">
        <f>RANK(I44,$Z$19:$Z$135,0)</f>
        <v>#N/A</v>
      </c>
      <c r="J45" s="700" t="e">
        <f>RANK(J44,$AA$19:$AA$110,0)</f>
        <v>#N/A</v>
      </c>
      <c r="K45" s="698" t="e">
        <f>RANK(K44,$AB$19:$AB$109,0)</f>
        <v>#N/A</v>
      </c>
      <c r="L45" s="698" t="e">
        <f>RANK(L44,$AC$19:$AC$115,0)</f>
        <v>#N/A</v>
      </c>
      <c r="M45" s="698" t="e">
        <f>RANK(M44,$AD$19:$AD$135,0)</f>
        <v>#N/A</v>
      </c>
      <c r="N45" s="698" t="e">
        <f>RANK(N44,$AE$19:$AE$135,0)</f>
        <v>#N/A</v>
      </c>
      <c r="O45" s="698" t="e">
        <f>RANK(O44,$AF$19:$AF$135,0)</f>
        <v>#N/A</v>
      </c>
      <c r="P45" s="648"/>
      <c r="Q45" s="701"/>
      <c r="R45" s="696"/>
      <c r="S45" s="675">
        <f>B41</f>
        <v>26</v>
      </c>
      <c r="T45" s="287">
        <f>$A41</f>
        <v>5</v>
      </c>
      <c r="U45" s="287">
        <v>5</v>
      </c>
      <c r="V45" s="287">
        <f>$A41</f>
        <v>5</v>
      </c>
      <c r="W45" s="449"/>
      <c r="X45" s="307"/>
      <c r="Y45" s="307"/>
      <c r="Z45" s="307"/>
      <c r="AA45" s="307"/>
      <c r="AB45" s="307"/>
      <c r="AC45" s="307"/>
      <c r="AD45" s="450"/>
      <c r="AE45" s="450"/>
      <c r="AF45" s="450"/>
      <c r="AH45" s="231"/>
      <c r="AI45" s="231"/>
      <c r="AJ45" s="404">
        <v>452</v>
      </c>
      <c r="AK45" s="231"/>
    </row>
    <row r="46" spans="1:37" s="280" customFormat="1" x14ac:dyDescent="0.35">
      <c r="A46" s="686">
        <v>6</v>
      </c>
      <c r="B46" s="523">
        <v>35</v>
      </c>
      <c r="C46" s="690" t="e">
        <f>VLOOKUP(B46,Уч!$A$2:$L$34,2,FALSE)</f>
        <v>#N/A</v>
      </c>
      <c r="D46" s="528" t="e">
        <f>VLOOKUP(B46,Уч!$A$2:$L$34,3,FALSE)</f>
        <v>#N/A</v>
      </c>
      <c r="E46" s="509" t="s">
        <v>19</v>
      </c>
      <c r="F46" s="670" t="e">
        <f>VLOOKUP($B46,'100 м 1'!$C$18:$I$87,5,FALSE)</f>
        <v>#N/A</v>
      </c>
      <c r="G46" s="670" t="e">
        <f>VLOOKUP($B46,'длина 2 '!$C$16:$O$54,11,FALSE)</f>
        <v>#N/A</v>
      </c>
      <c r="H46" s="670" t="e">
        <f>VLOOKUP($B46,'ядро 2'!$C$16:$K$60,8,FALSE)</f>
        <v>#N/A</v>
      </c>
      <c r="I46" s="670" t="e">
        <f>VLOOKUP($B46,'высота 2'!$C$16:$AF$57,29,FALSE)</f>
        <v>#N/A</v>
      </c>
      <c r="J46" s="671">
        <f>VLOOKUP($B46,'4_р'!$C$17:$H$73,5,FALSE)</f>
        <v>51.77</v>
      </c>
      <c r="K46" s="670">
        <f>VLOOKUP($B46,'1cб_р'!$C$17:$I$67,5,FALSE)</f>
        <v>16.32</v>
      </c>
      <c r="L46" s="670">
        <f>VLOOKUP($B46,Дс_р!$C$16:$K$70,8,FALSE)</f>
        <v>36</v>
      </c>
      <c r="M46" s="670">
        <f>VLOOKUP($B46,Ш_р!$C$15:$AF$69,29,FALSE)</f>
        <v>3.9</v>
      </c>
      <c r="N46" s="670">
        <f>VLOOKUP($B46,К_р!$C$15:$K$68,8,FALSE)</f>
        <v>49</v>
      </c>
      <c r="O46" s="523" t="str">
        <f>VLOOKUP($B46,'15_р'!$C$17:$H$86,5,FALSE)</f>
        <v>4:36.19</v>
      </c>
      <c r="P46" s="695" t="e">
        <f>SUM(F48:O48)</f>
        <v>#N/A</v>
      </c>
      <c r="Q46" s="522" t="e">
        <f>LOOKUP(P46,Y$1:AH$1,Y$2:AH$2)</f>
        <v>#N/A</v>
      </c>
      <c r="R46" s="694" t="e">
        <f>AH46+AI46+5</f>
        <v>#N/A</v>
      </c>
      <c r="S46" s="523">
        <f>B46</f>
        <v>35</v>
      </c>
      <c r="T46" s="287">
        <f>$A46</f>
        <v>6</v>
      </c>
      <c r="U46" s="287">
        <v>1</v>
      </c>
      <c r="V46" s="287" t="s">
        <v>162</v>
      </c>
      <c r="W46" s="449"/>
      <c r="X46" s="307"/>
      <c r="Y46" s="307"/>
      <c r="Z46" s="307"/>
      <c r="AA46" s="307"/>
      <c r="AB46" s="307"/>
      <c r="AC46" s="307"/>
      <c r="AD46" s="450"/>
      <c r="AE46" s="450"/>
      <c r="AF46" s="450"/>
      <c r="AH46" s="280" t="e">
        <f>IF(AND(T46&gt;16,P46&gt;=6200),"1",LOOKUP(T46,Y$5:AO$5,Y$6:AO$6))</f>
        <v>#N/A</v>
      </c>
      <c r="AI46" s="280" t="e">
        <f>LOOKUP(Q46,Y$8:AD$8,Y$9:AD$9)</f>
        <v>#N/A</v>
      </c>
      <c r="AJ46" s="404">
        <v>97</v>
      </c>
      <c r="AK46" s="231"/>
    </row>
    <row r="47" spans="1:37" s="280" customFormat="1" x14ac:dyDescent="0.35">
      <c r="A47" s="686"/>
      <c r="B47" s="523"/>
      <c r="C47" s="688" t="e">
        <f>VLOOKUP(B46,Уч!$A$2:$L$34,5,FALSE)</f>
        <v>#N/A</v>
      </c>
      <c r="D47" s="528" t="e">
        <f>VLOOKUP(B46,Уч!$A$2:$L$34,4,FALSE)</f>
        <v>#N/A</v>
      </c>
      <c r="E47" s="509" t="s">
        <v>25</v>
      </c>
      <c r="F47" s="672" t="e">
        <f>VLOOKUP($B46,'100 м 1'!$C$18:$I$87,6,FALSE)</f>
        <v>#N/A</v>
      </c>
      <c r="G47" s="672" t="e">
        <f>VLOOKUP($B46,'длина 2 '!$C$16:$O$54,12,FALSE)</f>
        <v>#N/A</v>
      </c>
      <c r="H47" s="523"/>
      <c r="I47" s="672"/>
      <c r="J47" s="673"/>
      <c r="K47" s="672">
        <f>VLOOKUP($B46,'1cб_р'!$C$17:$I$67,6,FALSE)</f>
        <v>-1.5</v>
      </c>
      <c r="L47" s="672"/>
      <c r="M47" s="672"/>
      <c r="N47" s="523"/>
      <c r="O47" s="523"/>
      <c r="P47" s="695"/>
      <c r="Q47" s="674"/>
      <c r="R47" s="694" t="e">
        <f>CONCATENATE(AH46,"+",AI46,"+",5)</f>
        <v>#N/A</v>
      </c>
      <c r="S47" s="523">
        <f>B46</f>
        <v>35</v>
      </c>
      <c r="T47" s="287">
        <f>$A46</f>
        <v>6</v>
      </c>
      <c r="U47" s="287">
        <v>2</v>
      </c>
      <c r="V47" s="287" t="s">
        <v>162</v>
      </c>
      <c r="W47" s="449"/>
      <c r="X47" s="307"/>
      <c r="Y47" s="307"/>
      <c r="Z47" s="307"/>
      <c r="AA47" s="307"/>
      <c r="AB47" s="307"/>
      <c r="AC47" s="307"/>
      <c r="AD47" s="450"/>
      <c r="AE47" s="450"/>
      <c r="AF47" s="450"/>
      <c r="AH47" s="231"/>
      <c r="AI47" s="231"/>
      <c r="AJ47" s="404">
        <v>97</v>
      </c>
      <c r="AK47" s="231"/>
    </row>
    <row r="48" spans="1:37" s="280" customFormat="1" x14ac:dyDescent="0.35">
      <c r="A48" s="686"/>
      <c r="B48" s="523"/>
      <c r="C48" s="689" t="e">
        <f>VLOOKUP(B46,Уч!$A$2:$L$34,7,FALSE)</f>
        <v>#N/A</v>
      </c>
      <c r="D48" s="528"/>
      <c r="E48" s="509" t="s">
        <v>29</v>
      </c>
      <c r="F48" s="523" t="e">
        <f>VLOOKUP($B46,'100 м 1'!$C$18:$I$87,7,FALSE)</f>
        <v>#N/A</v>
      </c>
      <c r="G48" s="523" t="e">
        <f>VLOOKUP($B46,'длина 2 '!$C$16:$O$54,13,FALSE)</f>
        <v>#N/A</v>
      </c>
      <c r="H48" s="523" t="e">
        <f>VLOOKUP($B46,'ядро 2'!$C$16:$K$60,9,FALSE)</f>
        <v>#N/A</v>
      </c>
      <c r="I48" s="523" t="e">
        <f>VLOOKUP($B46,'высота 2'!$C$16:$AF$57,30,)</f>
        <v>#N/A</v>
      </c>
      <c r="J48" s="526">
        <f>VLOOKUP($B46,'4_р'!$C$17:$H$73,6,FALSE)</f>
        <v>735</v>
      </c>
      <c r="K48" s="523">
        <f>VLOOKUP($B46,'1cб_р'!$C$17:$I$67,7,FALSE)</f>
        <v>697</v>
      </c>
      <c r="L48" s="523">
        <f>VLOOKUP($B46,Дс_р!$C$16:$K$70,9,FALSE)</f>
        <v>584</v>
      </c>
      <c r="M48" s="523">
        <f>VLOOKUP($B46,Ш_р!$C$15:$AF$69,30,FALSE)</f>
        <v>590</v>
      </c>
      <c r="N48" s="523">
        <f>VLOOKUP($B46,К_р!$C$15:$K$68,9,FALSE)</f>
        <v>574</v>
      </c>
      <c r="O48" s="523">
        <f>VLOOKUP($B46,'15_р'!$C$17:$H$86,6,FALSE)</f>
        <v>704</v>
      </c>
      <c r="P48" s="695"/>
      <c r="Q48" s="676"/>
      <c r="R48" s="695"/>
      <c r="S48" s="523">
        <f>B46</f>
        <v>35</v>
      </c>
      <c r="T48" s="287">
        <f>$A46</f>
        <v>6</v>
      </c>
      <c r="U48" s="287">
        <v>3</v>
      </c>
      <c r="V48" s="287" t="s">
        <v>162</v>
      </c>
      <c r="W48" s="449"/>
      <c r="X48" s="307"/>
      <c r="Y48" s="307"/>
      <c r="Z48" s="307"/>
      <c r="AA48" s="307"/>
      <c r="AB48" s="307"/>
      <c r="AC48" s="307"/>
      <c r="AD48" s="450"/>
      <c r="AE48" s="450"/>
      <c r="AF48" s="450"/>
      <c r="AH48" s="231"/>
      <c r="AI48" s="231"/>
      <c r="AJ48" s="404">
        <v>97</v>
      </c>
      <c r="AK48" s="231"/>
    </row>
    <row r="49" spans="1:37" s="280" customFormat="1" x14ac:dyDescent="0.35">
      <c r="A49" s="686"/>
      <c r="B49" s="523"/>
      <c r="C49" s="688" t="e">
        <f>VLOOKUP(B46,Уч!$A$2:$L$34,11,FALSE)</f>
        <v>#N/A</v>
      </c>
      <c r="D49" s="528"/>
      <c r="E49" s="509" t="s">
        <v>276</v>
      </c>
      <c r="F49" s="523" t="e">
        <f>F48</f>
        <v>#N/A</v>
      </c>
      <c r="G49" s="523" t="e">
        <f>F49+G48</f>
        <v>#N/A</v>
      </c>
      <c r="H49" s="523" t="e">
        <f>G49+H48</f>
        <v>#N/A</v>
      </c>
      <c r="I49" s="523" t="e">
        <f>H49+I48</f>
        <v>#N/A</v>
      </c>
      <c r="J49" s="526" t="e">
        <f>SUM($F48:J48)</f>
        <v>#N/A</v>
      </c>
      <c r="K49" s="523" t="e">
        <f>SUM($F48:$K48)</f>
        <v>#N/A</v>
      </c>
      <c r="L49" s="523" t="e">
        <f>K49+L48</f>
        <v>#N/A</v>
      </c>
      <c r="M49" s="523" t="e">
        <f>L49+M48</f>
        <v>#N/A</v>
      </c>
      <c r="N49" s="523" t="e">
        <f>SUM($F48:$N48)</f>
        <v>#N/A</v>
      </c>
      <c r="O49" s="523" t="e">
        <f>SUM($F48:$O48)</f>
        <v>#N/A</v>
      </c>
      <c r="P49" s="695"/>
      <c r="Q49" s="674"/>
      <c r="R49" s="695"/>
      <c r="S49" s="523">
        <f>B46</f>
        <v>35</v>
      </c>
      <c r="T49" s="287">
        <f>$A46</f>
        <v>6</v>
      </c>
      <c r="U49" s="287">
        <v>4</v>
      </c>
      <c r="V49" s="287" t="s">
        <v>162</v>
      </c>
      <c r="W49" s="372" t="e">
        <f t="shared" ref="W49:AF49" si="6">F49</f>
        <v>#N/A</v>
      </c>
      <c r="X49" s="372" t="e">
        <f t="shared" si="6"/>
        <v>#N/A</v>
      </c>
      <c r="Y49" s="372" t="e">
        <f t="shared" si="6"/>
        <v>#N/A</v>
      </c>
      <c r="Z49" s="372" t="e">
        <f t="shared" si="6"/>
        <v>#N/A</v>
      </c>
      <c r="AA49" s="372" t="e">
        <f t="shared" si="6"/>
        <v>#N/A</v>
      </c>
      <c r="AB49" s="372" t="e">
        <f t="shared" si="6"/>
        <v>#N/A</v>
      </c>
      <c r="AC49" s="372" t="e">
        <f t="shared" si="6"/>
        <v>#N/A</v>
      </c>
      <c r="AD49" s="372" t="e">
        <f t="shared" si="6"/>
        <v>#N/A</v>
      </c>
      <c r="AE49" s="372" t="e">
        <f t="shared" si="6"/>
        <v>#N/A</v>
      </c>
      <c r="AF49" s="372" t="e">
        <f t="shared" si="6"/>
        <v>#N/A</v>
      </c>
      <c r="AH49" s="231"/>
      <c r="AI49" s="231"/>
      <c r="AJ49" s="404">
        <v>97</v>
      </c>
      <c r="AK49" s="231"/>
    </row>
    <row r="50" spans="1:37" s="280" customFormat="1" x14ac:dyDescent="0.25">
      <c r="A50" s="625"/>
      <c r="B50" s="698"/>
      <c r="C50" s="691"/>
      <c r="D50" s="699"/>
      <c r="E50" s="692" t="s">
        <v>59</v>
      </c>
      <c r="F50" s="698" t="e">
        <f>RANK(F49,$W$19:$W$135,0)</f>
        <v>#N/A</v>
      </c>
      <c r="G50" s="698" t="e">
        <f>RANK(G49,$X$19:$X$135,0)</f>
        <v>#N/A</v>
      </c>
      <c r="H50" s="698" t="e">
        <f>RANK(H49,$Y$19:$Y$135,0)</f>
        <v>#N/A</v>
      </c>
      <c r="I50" s="698" t="e">
        <f>RANK(I49,$Z$19:$Z$135,0)</f>
        <v>#N/A</v>
      </c>
      <c r="J50" s="700" t="e">
        <f>RANK(J49,$AA$19:$AA$110,0)</f>
        <v>#N/A</v>
      </c>
      <c r="K50" s="698" t="e">
        <f>RANK(K49,$AB$19:$AB$109,0)</f>
        <v>#N/A</v>
      </c>
      <c r="L50" s="698" t="e">
        <f>RANK(L49,$AC$19:$AC$115,0)</f>
        <v>#N/A</v>
      </c>
      <c r="M50" s="698" t="e">
        <f>RANK(M49,$AD$19:$AD$135,0)</f>
        <v>#N/A</v>
      </c>
      <c r="N50" s="698" t="e">
        <f>RANK(N49,$AE$19:$AE$135,0)</f>
        <v>#N/A</v>
      </c>
      <c r="O50" s="698" t="e">
        <f>RANK(O49,$AF$19:$AF$135,0)</f>
        <v>#N/A</v>
      </c>
      <c r="P50" s="648"/>
      <c r="Q50" s="701"/>
      <c r="R50" s="696"/>
      <c r="S50" s="675">
        <f>B46</f>
        <v>35</v>
      </c>
      <c r="T50" s="287">
        <f>$A46</f>
        <v>6</v>
      </c>
      <c r="U50" s="287">
        <v>5</v>
      </c>
      <c r="V50" s="287" t="s">
        <v>162</v>
      </c>
      <c r="W50" s="449"/>
      <c r="X50" s="307"/>
      <c r="Y50" s="307"/>
      <c r="Z50" s="307"/>
      <c r="AA50" s="307"/>
      <c r="AB50" s="307"/>
      <c r="AC50" s="307"/>
      <c r="AD50" s="450"/>
      <c r="AE50" s="450"/>
      <c r="AF50" s="450"/>
      <c r="AH50" s="231"/>
      <c r="AI50" s="231"/>
      <c r="AJ50" s="404">
        <v>97</v>
      </c>
      <c r="AK50" s="231"/>
    </row>
    <row r="51" spans="1:37" s="280" customFormat="1" hidden="1" x14ac:dyDescent="0.35">
      <c r="A51" s="686"/>
      <c r="B51" s="523">
        <v>45</v>
      </c>
      <c r="C51" s="690" t="str">
        <f>VLOOKUP(B51,Уч!$A$2:$L$34,2,FALSE)</f>
        <v>Бочаринский Данила</v>
      </c>
      <c r="D51" s="528" t="str">
        <f>VLOOKUP(B51,Уч!$A$2:$L$34,3,FALSE)</f>
        <v>12.01.1999</v>
      </c>
      <c r="E51" s="509" t="s">
        <v>19</v>
      </c>
      <c r="F51" s="670">
        <f>VLOOKUP($B51,'100 м 1'!$C$18:$I$87,5,FALSE)</f>
        <v>11.53</v>
      </c>
      <c r="G51" s="670">
        <f>VLOOKUP($B51,'длина 2 '!$C$16:$O$54,11,FALSE)</f>
        <v>6.57</v>
      </c>
      <c r="H51" s="670">
        <f>VLOOKUP($B51,'ядро 2'!$C$16:$K$60,8,FALSE)</f>
        <v>13.56</v>
      </c>
      <c r="I51" s="670">
        <f>VLOOKUP($B51,'высота 2'!$C$16:$AF$57,29,FALSE)</f>
        <v>1.88</v>
      </c>
      <c r="J51" s="671">
        <f>VLOOKUP($B51,'4_р'!$C$17:$H$73,5,FALSE)</f>
        <v>49.43</v>
      </c>
      <c r="K51" s="670">
        <f>VLOOKUP($B51,'1cб_р'!$C$17:$I$67,5,FALSE)</f>
        <v>16.09</v>
      </c>
      <c r="L51" s="670">
        <f>VLOOKUP($B51,Дс_р!$C$16:$K$70,8,FALSE)</f>
        <v>35.54</v>
      </c>
      <c r="M51" s="670">
        <f>VLOOKUP($B51,Ш_р!$C$15:$AF$69,29,FALSE)</f>
        <v>4</v>
      </c>
      <c r="N51" s="670">
        <f>VLOOKUP($B51,К_р!$C$15:$K$68,8,FALSE)</f>
        <v>46.9</v>
      </c>
      <c r="O51" s="523" t="str">
        <f>VLOOKUP($B51,'15_р'!$C$17:$H$86,5,FALSE)</f>
        <v>4:17.35</v>
      </c>
      <c r="P51" s="695">
        <f>SUM(F53:O53)</f>
        <v>5576</v>
      </c>
      <c r="Q51" s="522">
        <f>LOOKUP(P51,Y$1:AH$1,Y$2:AH$2)</f>
        <v>1</v>
      </c>
      <c r="R51" s="694" t="e">
        <f>AH51+AI51+5</f>
        <v>#N/A</v>
      </c>
      <c r="S51" s="523">
        <f>B51</f>
        <v>45</v>
      </c>
      <c r="T51" s="287">
        <f>$A51</f>
        <v>0</v>
      </c>
      <c r="U51" s="287">
        <v>1</v>
      </c>
      <c r="V51" s="287">
        <f>$A51</f>
        <v>0</v>
      </c>
      <c r="W51" s="449"/>
      <c r="X51" s="307"/>
      <c r="Y51" s="307"/>
      <c r="Z51" s="307"/>
      <c r="AA51" s="307"/>
      <c r="AB51" s="307"/>
      <c r="AC51" s="307"/>
      <c r="AD51" s="450"/>
      <c r="AE51" s="450"/>
      <c r="AF51" s="450"/>
      <c r="AH51" s="280" t="e">
        <f>IF(AND(T51&gt;16,P51&gt;=6200),"1",LOOKUP(T51,Y$5:AO$5,Y$6:AO$6))</f>
        <v>#N/A</v>
      </c>
      <c r="AI51" s="280">
        <f>LOOKUP(Q51,Y$8:AD$8,Y$9:AD$9)</f>
        <v>0</v>
      </c>
      <c r="AJ51" s="404">
        <v>54</v>
      </c>
      <c r="AK51" s="231"/>
    </row>
    <row r="52" spans="1:37" s="280" customFormat="1" hidden="1" x14ac:dyDescent="0.35">
      <c r="A52" s="686"/>
      <c r="B52" s="523"/>
      <c r="C52" s="688" t="str">
        <f>VLOOKUP(B51,Уч!$A$2:$L$34,5,FALSE)</f>
        <v xml:space="preserve">Кемеровская область  </v>
      </c>
      <c r="D52" s="528" t="str">
        <f>VLOOKUP(B51,Уч!$A$2:$L$34,4,FALSE)</f>
        <v>КМС</v>
      </c>
      <c r="E52" s="509" t="s">
        <v>25</v>
      </c>
      <c r="F52" s="672">
        <f>VLOOKUP($B51,'100 м 1'!$C$18:$I$87,6,FALSE)</f>
        <v>0.8</v>
      </c>
      <c r="G52" s="672">
        <f>VLOOKUP($B51,'длина 2 '!$C$16:$O$54,12,FALSE)</f>
        <v>-1.2</v>
      </c>
      <c r="H52" s="523"/>
      <c r="I52" s="672"/>
      <c r="J52" s="673"/>
      <c r="K52" s="672">
        <f>VLOOKUP($B51,'1cб_р'!$C$17:$I$67,6,FALSE)</f>
        <v>-1</v>
      </c>
      <c r="L52" s="672"/>
      <c r="M52" s="672"/>
      <c r="N52" s="523"/>
      <c r="O52" s="523"/>
      <c r="P52" s="695"/>
      <c r="Q52" s="674"/>
      <c r="R52" s="694" t="e">
        <f>CONCATENATE(AH51,"+",AI51,"+",5)</f>
        <v>#N/A</v>
      </c>
      <c r="S52" s="523">
        <f>B51</f>
        <v>45</v>
      </c>
      <c r="T52" s="287">
        <f>$A51</f>
        <v>0</v>
      </c>
      <c r="U52" s="287">
        <v>2</v>
      </c>
      <c r="V52" s="287">
        <f>$A51</f>
        <v>0</v>
      </c>
      <c r="W52" s="449"/>
      <c r="X52" s="307"/>
      <c r="Y52" s="307"/>
      <c r="Z52" s="307"/>
      <c r="AA52" s="307"/>
      <c r="AB52" s="307"/>
      <c r="AC52" s="307"/>
      <c r="AD52" s="450"/>
      <c r="AE52" s="450"/>
      <c r="AF52" s="450"/>
      <c r="AH52" s="231"/>
      <c r="AI52" s="231"/>
      <c r="AJ52" s="404">
        <v>54</v>
      </c>
      <c r="AK52" s="231"/>
    </row>
    <row r="53" spans="1:37" s="280" customFormat="1" hidden="1" x14ac:dyDescent="0.35">
      <c r="A53" s="686"/>
      <c r="B53" s="523"/>
      <c r="C53" s="689" t="str">
        <f>VLOOKUP(B51,Уч!$A$2:$L$34,7,FALSE)</f>
        <v>МАФСУ "СШ №7"</v>
      </c>
      <c r="D53" s="528"/>
      <c r="E53" s="509" t="s">
        <v>29</v>
      </c>
      <c r="F53" s="523">
        <f>VLOOKUP($B51,'100 м 1'!$C$18:$I$87,7,FALSE)</f>
        <v>746</v>
      </c>
      <c r="G53" s="523">
        <f>VLOOKUP($B51,'длина 2 '!$C$16:$O$54,13,FALSE)</f>
        <v>0</v>
      </c>
      <c r="H53" s="523">
        <f>VLOOKUP($B51,'ядро 2'!$C$16:$K$60,9,FALSE)</f>
        <v>701</v>
      </c>
      <c r="I53" s="523">
        <f>VLOOKUP($B51,'высота 2'!$C$16:$AF$57,30,)</f>
        <v>0</v>
      </c>
      <c r="J53" s="526">
        <f>VLOOKUP($B51,'4_р'!$C$17:$H$73,6,FALSE)</f>
        <v>841</v>
      </c>
      <c r="K53" s="523">
        <f>VLOOKUP($B51,'1cб_р'!$C$17:$I$67,7,FALSE)</f>
        <v>723</v>
      </c>
      <c r="L53" s="523">
        <f>VLOOKUP($B51,Дс_р!$C$16:$K$70,9,FALSE)</f>
        <v>575</v>
      </c>
      <c r="M53" s="523">
        <f>VLOOKUP($B51,Ш_р!$C$15:$AF$69,30,FALSE)</f>
        <v>617</v>
      </c>
      <c r="N53" s="523">
        <f>VLOOKUP($B51,К_р!$C$15:$K$68,9,FALSE)</f>
        <v>543</v>
      </c>
      <c r="O53" s="523">
        <f>VLOOKUP($B51,'15_р'!$C$17:$H$86,6,FALSE)</f>
        <v>830</v>
      </c>
      <c r="P53" s="695"/>
      <c r="Q53" s="650"/>
      <c r="R53" s="695"/>
      <c r="S53" s="523">
        <f>B51</f>
        <v>45</v>
      </c>
      <c r="T53" s="287">
        <f>$A51</f>
        <v>0</v>
      </c>
      <c r="U53" s="287">
        <v>3</v>
      </c>
      <c r="V53" s="287">
        <f>$A51</f>
        <v>0</v>
      </c>
      <c r="W53" s="449"/>
      <c r="X53" s="307"/>
      <c r="Y53" s="307"/>
      <c r="Z53" s="307"/>
      <c r="AA53" s="307"/>
      <c r="AB53" s="307"/>
      <c r="AC53" s="307"/>
      <c r="AD53" s="450"/>
      <c r="AE53" s="450"/>
      <c r="AF53" s="450"/>
      <c r="AH53" s="231"/>
      <c r="AI53" s="231"/>
      <c r="AJ53" s="404">
        <v>54</v>
      </c>
      <c r="AK53" s="231"/>
    </row>
    <row r="54" spans="1:37" s="280" customFormat="1" hidden="1" x14ac:dyDescent="0.35">
      <c r="A54" s="686"/>
      <c r="B54" s="523"/>
      <c r="C54" s="688" t="str">
        <f>VLOOKUP(B51,Уч!$A$2:$L$34,11,FALSE)</f>
        <v>Чернявская Ю.В., Быков И.С., Ляпин И.М.</v>
      </c>
      <c r="D54" s="528"/>
      <c r="E54" s="509" t="s">
        <v>276</v>
      </c>
      <c r="F54" s="523">
        <f>F53</f>
        <v>746</v>
      </c>
      <c r="G54" s="523">
        <f>F54+G53</f>
        <v>746</v>
      </c>
      <c r="H54" s="523">
        <f>G54+H53</f>
        <v>1447</v>
      </c>
      <c r="I54" s="523">
        <f>H54+I53</f>
        <v>1447</v>
      </c>
      <c r="J54" s="526">
        <f>SUM($F53:J53)</f>
        <v>2288</v>
      </c>
      <c r="K54" s="523">
        <f>SUM($F53:$K53)</f>
        <v>3011</v>
      </c>
      <c r="L54" s="523">
        <f>K54+L53</f>
        <v>3586</v>
      </c>
      <c r="M54" s="523">
        <f>L54+M53</f>
        <v>4203</v>
      </c>
      <c r="N54" s="523">
        <f>SUM($F53:$N53)</f>
        <v>4746</v>
      </c>
      <c r="O54" s="523">
        <f>SUM($F53:$O53)</f>
        <v>5576</v>
      </c>
      <c r="P54" s="695"/>
      <c r="Q54" s="650"/>
      <c r="R54" s="695"/>
      <c r="S54" s="523">
        <f>B51</f>
        <v>45</v>
      </c>
      <c r="T54" s="287">
        <f>$A51</f>
        <v>0</v>
      </c>
      <c r="U54" s="287">
        <v>4</v>
      </c>
      <c r="V54" s="287">
        <f>$A51</f>
        <v>0</v>
      </c>
      <c r="W54" s="372">
        <f t="shared" ref="W54:AF54" si="7">F54</f>
        <v>746</v>
      </c>
      <c r="X54" s="372">
        <f t="shared" si="7"/>
        <v>746</v>
      </c>
      <c r="Y54" s="372">
        <f t="shared" si="7"/>
        <v>1447</v>
      </c>
      <c r="Z54" s="372">
        <f t="shared" si="7"/>
        <v>1447</v>
      </c>
      <c r="AA54" s="372">
        <f t="shared" si="7"/>
        <v>2288</v>
      </c>
      <c r="AB54" s="372">
        <f t="shared" si="7"/>
        <v>3011</v>
      </c>
      <c r="AC54" s="372">
        <f t="shared" si="7"/>
        <v>3586</v>
      </c>
      <c r="AD54" s="372">
        <f t="shared" si="7"/>
        <v>4203</v>
      </c>
      <c r="AE54" s="372">
        <f t="shared" si="7"/>
        <v>4746</v>
      </c>
      <c r="AF54" s="372">
        <f t="shared" si="7"/>
        <v>5576</v>
      </c>
      <c r="AH54" s="231"/>
      <c r="AI54" s="231"/>
      <c r="AJ54" s="404">
        <v>54</v>
      </c>
      <c r="AK54" s="231"/>
    </row>
    <row r="55" spans="1:37" s="280" customFormat="1" hidden="1" x14ac:dyDescent="0.25">
      <c r="A55" s="625"/>
      <c r="B55" s="698"/>
      <c r="C55" s="691"/>
      <c r="D55" s="699"/>
      <c r="E55" s="692" t="s">
        <v>59</v>
      </c>
      <c r="F55" s="698" t="e">
        <f>RANK(F54,$W$19:$W$135,0)</f>
        <v>#N/A</v>
      </c>
      <c r="G55" s="698" t="e">
        <f>RANK(G54,$X$19:$X$135,0)</f>
        <v>#N/A</v>
      </c>
      <c r="H55" s="698" t="e">
        <f>RANK(H54,$Y$19:$Y$135,0)</f>
        <v>#N/A</v>
      </c>
      <c r="I55" s="698" t="e">
        <f>RANK(I54,$Z$19:$Z$135,0)</f>
        <v>#N/A</v>
      </c>
      <c r="J55" s="700" t="e">
        <f>RANK(J54,$AA$19:$AA$110,0)</f>
        <v>#N/A</v>
      </c>
      <c r="K55" s="698" t="e">
        <f>RANK(K54,$AB$19:$AB$109,0)</f>
        <v>#N/A</v>
      </c>
      <c r="L55" s="698" t="e">
        <f>RANK(L54,$AC$19:$AC$115,0)</f>
        <v>#N/A</v>
      </c>
      <c r="M55" s="698" t="e">
        <f>RANK(M54,$AD$19:$AD$135,0)</f>
        <v>#N/A</v>
      </c>
      <c r="N55" s="698" t="e">
        <f>RANK(N54,$AE$19:$AE$135,0)</f>
        <v>#N/A</v>
      </c>
      <c r="O55" s="698" t="e">
        <f>RANK(O54,$AF$19:$AF$40,0)</f>
        <v>#N/A</v>
      </c>
      <c r="P55" s="648"/>
      <c r="Q55" s="701"/>
      <c r="R55" s="696"/>
      <c r="S55" s="675">
        <f>B51</f>
        <v>45</v>
      </c>
      <c r="T55" s="287">
        <f>$A51</f>
        <v>0</v>
      </c>
      <c r="U55" s="287">
        <v>5</v>
      </c>
      <c r="V55" s="287">
        <f>$A51</f>
        <v>0</v>
      </c>
      <c r="W55" s="449"/>
      <c r="X55" s="307"/>
      <c r="Y55" s="307"/>
      <c r="Z55" s="307"/>
      <c r="AA55" s="307"/>
      <c r="AB55" s="307"/>
      <c r="AC55" s="307"/>
      <c r="AD55" s="450"/>
      <c r="AE55" s="450"/>
      <c r="AF55" s="450"/>
      <c r="AH55" s="231"/>
      <c r="AI55" s="231"/>
      <c r="AJ55" s="404">
        <v>54</v>
      </c>
      <c r="AK55" s="231"/>
    </row>
    <row r="56" spans="1:37" s="280" customFormat="1" hidden="1" x14ac:dyDescent="0.35">
      <c r="A56" s="686"/>
      <c r="B56" s="523">
        <v>50</v>
      </c>
      <c r="C56" s="690" t="e">
        <f>VLOOKUP(B56,Уч!$A$2:$L$34,2,FALSE)</f>
        <v>#N/A</v>
      </c>
      <c r="D56" s="528" t="e">
        <f>VLOOKUP(B56,Уч!$A$2:$L$34,3,FALSE)</f>
        <v>#N/A</v>
      </c>
      <c r="E56" s="509" t="s">
        <v>19</v>
      </c>
      <c r="F56" s="670" t="e">
        <f>VLOOKUP($B56,'100 м 1'!$C$18:$I$87,5,FALSE)</f>
        <v>#N/A</v>
      </c>
      <c r="G56" s="670" t="e">
        <f>VLOOKUP($B56,'длина 2 '!$C$16:$O$54,11,FALSE)</f>
        <v>#N/A</v>
      </c>
      <c r="H56" s="670" t="e">
        <f>VLOOKUP($B56,'ядро 2'!$C$16:$K$60,8,FALSE)</f>
        <v>#N/A</v>
      </c>
      <c r="I56" s="670">
        <f>VLOOKUP($B56,'высота 2'!$C$16:$AF$57,29,FALSE)</f>
        <v>1.88</v>
      </c>
      <c r="J56" s="671">
        <f>VLOOKUP($B56,'4_р'!$C$17:$H$73,5,FALSE)</f>
        <v>50.95</v>
      </c>
      <c r="K56" s="670">
        <f>VLOOKUP($B56,'1cб_р'!$C$17:$I$67,5,FALSE)</f>
        <v>16.010000000000002</v>
      </c>
      <c r="L56" s="670">
        <f>VLOOKUP($B56,Дс_р!$C$16:$K$70,8,FALSE)</f>
        <v>32.69</v>
      </c>
      <c r="M56" s="670">
        <f>VLOOKUP($B56,Ш_р!$C$15:$AF$69,29,FALSE)</f>
        <v>3.9</v>
      </c>
      <c r="N56" s="670">
        <f>VLOOKUP($B56,К_р!$C$15:$K$68,8,FALSE)</f>
        <v>45.25</v>
      </c>
      <c r="O56" s="523" t="str">
        <f>VLOOKUP($B56,'15_р'!$C$17:$H$86,5,FALSE)</f>
        <v>4:54.00</v>
      </c>
      <c r="P56" s="695" t="e">
        <f>SUM(F58:O58)</f>
        <v>#N/A</v>
      </c>
      <c r="Q56" s="522" t="e">
        <f>LOOKUP(P56,Y$1:AH$1,Y$2:AH$2)</f>
        <v>#N/A</v>
      </c>
      <c r="R56" s="694" t="e">
        <f>AH56+AI56+5</f>
        <v>#N/A</v>
      </c>
      <c r="S56" s="523">
        <f>B56</f>
        <v>50</v>
      </c>
      <c r="T56" s="287">
        <f>$A56</f>
        <v>0</v>
      </c>
      <c r="U56" s="287">
        <v>1</v>
      </c>
      <c r="V56" s="287" t="s">
        <v>162</v>
      </c>
      <c r="W56" s="449"/>
      <c r="X56" s="307"/>
      <c r="Y56" s="307"/>
      <c r="Z56" s="307"/>
      <c r="AA56" s="307"/>
      <c r="AB56" s="307"/>
      <c r="AC56" s="307"/>
      <c r="AD56" s="450"/>
      <c r="AE56" s="450"/>
      <c r="AF56" s="450"/>
      <c r="AH56" s="280" t="e">
        <f>IF(AND(T56&gt;16,P56&gt;=6200),"1",LOOKUP(T56,Y$5:AO$5,Y$6:AO$6))</f>
        <v>#N/A</v>
      </c>
      <c r="AI56" s="280" t="e">
        <f>LOOKUP(Q56,Y$8:AD$8,Y$9:AD$9)</f>
        <v>#N/A</v>
      </c>
      <c r="AJ56" s="404">
        <v>455</v>
      </c>
      <c r="AK56" s="231"/>
    </row>
    <row r="57" spans="1:37" s="280" customFormat="1" hidden="1" x14ac:dyDescent="0.35">
      <c r="A57" s="686"/>
      <c r="B57" s="523"/>
      <c r="C57" s="688" t="e">
        <f>VLOOKUP(B56,Уч!$A$2:$L$34,5,FALSE)</f>
        <v>#N/A</v>
      </c>
      <c r="D57" s="528" t="e">
        <f>VLOOKUP(B56,Уч!$A$2:$L$34,4,FALSE)</f>
        <v>#N/A</v>
      </c>
      <c r="E57" s="509" t="s">
        <v>25</v>
      </c>
      <c r="F57" s="672" t="e">
        <f>VLOOKUP($B56,'100 м 1'!$C$18:$I$87,6,FALSE)</f>
        <v>#N/A</v>
      </c>
      <c r="G57" s="672" t="e">
        <f>VLOOKUP($B56,'длина 2 '!$C$16:$O$54,12,FALSE)</f>
        <v>#N/A</v>
      </c>
      <c r="H57" s="523"/>
      <c r="I57" s="672"/>
      <c r="J57" s="673"/>
      <c r="K57" s="672">
        <f>VLOOKUP($B56,'1cб_р'!$C$17:$I$67,6,FALSE)</f>
        <v>-1.5</v>
      </c>
      <c r="L57" s="672"/>
      <c r="M57" s="672"/>
      <c r="N57" s="523"/>
      <c r="O57" s="523"/>
      <c r="P57" s="695"/>
      <c r="Q57" s="674"/>
      <c r="R57" s="694" t="e">
        <f>CONCATENATE(AH56,"+",AI56,"+",5)</f>
        <v>#N/A</v>
      </c>
      <c r="S57" s="523">
        <f>B56</f>
        <v>50</v>
      </c>
      <c r="T57" s="287">
        <f>$A56</f>
        <v>0</v>
      </c>
      <c r="U57" s="287">
        <v>2</v>
      </c>
      <c r="V57" s="287" t="s">
        <v>162</v>
      </c>
      <c r="W57" s="449"/>
      <c r="X57" s="307"/>
      <c r="Y57" s="307"/>
      <c r="Z57" s="307"/>
      <c r="AA57" s="307"/>
      <c r="AB57" s="307"/>
      <c r="AC57" s="307"/>
      <c r="AD57" s="450"/>
      <c r="AE57" s="450"/>
      <c r="AF57" s="450"/>
      <c r="AH57" s="231"/>
      <c r="AI57" s="231"/>
      <c r="AJ57" s="404">
        <v>455</v>
      </c>
      <c r="AK57" s="231"/>
    </row>
    <row r="58" spans="1:37" s="280" customFormat="1" hidden="1" x14ac:dyDescent="0.35">
      <c r="A58" s="686"/>
      <c r="B58" s="523"/>
      <c r="C58" s="689" t="e">
        <f>VLOOKUP(B56,Уч!$A$2:$L$34,7,FALSE)</f>
        <v>#N/A</v>
      </c>
      <c r="D58" s="528"/>
      <c r="E58" s="509" t="s">
        <v>29</v>
      </c>
      <c r="F58" s="523" t="e">
        <f>VLOOKUP($B56,'100 м 1'!$C$18:$I$87,7,FALSE)</f>
        <v>#N/A</v>
      </c>
      <c r="G58" s="523" t="e">
        <f>VLOOKUP($B56,'длина 2 '!$C$16:$O$54,13,FALSE)</f>
        <v>#N/A</v>
      </c>
      <c r="H58" s="523" t="e">
        <f>VLOOKUP($B56,'ядро 2'!$C$16:$K$60,9,FALSE)</f>
        <v>#N/A</v>
      </c>
      <c r="I58" s="523">
        <f>VLOOKUP($B56,'высота 2'!$C$16:$AF$57,30,)</f>
        <v>0</v>
      </c>
      <c r="J58" s="526">
        <f>VLOOKUP($B56,'4_р'!$C$17:$H$73,6,FALSE)</f>
        <v>771</v>
      </c>
      <c r="K58" s="523">
        <f>VLOOKUP($B56,'1cб_р'!$C$17:$I$67,7,FALSE)</f>
        <v>732</v>
      </c>
      <c r="L58" s="523">
        <f>VLOOKUP($B56,Дс_р!$C$16:$K$70,9,FALSE)</f>
        <v>518</v>
      </c>
      <c r="M58" s="523">
        <f>VLOOKUP($B56,Ш_р!$C$15:$AF$69,30,FALSE)</f>
        <v>590</v>
      </c>
      <c r="N58" s="523">
        <f>VLOOKUP($B56,К_р!$C$15:$K$68,9,FALSE)</f>
        <v>519</v>
      </c>
      <c r="O58" s="523">
        <f>VLOOKUP($B56,'15_р'!$C$17:$H$86,6,FALSE)</f>
        <v>595</v>
      </c>
      <c r="P58" s="695"/>
      <c r="Q58" s="676"/>
      <c r="R58" s="695"/>
      <c r="S58" s="523">
        <f>B56</f>
        <v>50</v>
      </c>
      <c r="T58" s="287">
        <f>$A56</f>
        <v>0</v>
      </c>
      <c r="U58" s="287">
        <v>3</v>
      </c>
      <c r="V58" s="287" t="s">
        <v>162</v>
      </c>
      <c r="W58" s="449"/>
      <c r="X58" s="307"/>
      <c r="Y58" s="307"/>
      <c r="Z58" s="307"/>
      <c r="AA58" s="307"/>
      <c r="AB58" s="307"/>
      <c r="AC58" s="307"/>
      <c r="AD58" s="450"/>
      <c r="AE58" s="450"/>
      <c r="AF58" s="450"/>
      <c r="AH58" s="231"/>
      <c r="AI58" s="231"/>
      <c r="AJ58" s="404">
        <v>455</v>
      </c>
      <c r="AK58" s="231"/>
    </row>
    <row r="59" spans="1:37" s="280" customFormat="1" hidden="1" x14ac:dyDescent="0.35">
      <c r="A59" s="686"/>
      <c r="B59" s="523"/>
      <c r="C59" s="688" t="e">
        <f>VLOOKUP(B56,Уч!$A$2:$L$34,11,FALSE)</f>
        <v>#N/A</v>
      </c>
      <c r="D59" s="528"/>
      <c r="E59" s="509" t="s">
        <v>276</v>
      </c>
      <c r="F59" s="523" t="e">
        <f>F58</f>
        <v>#N/A</v>
      </c>
      <c r="G59" s="523" t="e">
        <f>F59+G58</f>
        <v>#N/A</v>
      </c>
      <c r="H59" s="523" t="e">
        <f>G59+H58</f>
        <v>#N/A</v>
      </c>
      <c r="I59" s="523" t="e">
        <f>H59+I58</f>
        <v>#N/A</v>
      </c>
      <c r="J59" s="526" t="e">
        <f>SUM($F58:J58)</f>
        <v>#N/A</v>
      </c>
      <c r="K59" s="523" t="e">
        <f>SUM($F58:$K58)</f>
        <v>#N/A</v>
      </c>
      <c r="L59" s="523" t="e">
        <f>K59+L58</f>
        <v>#N/A</v>
      </c>
      <c r="M59" s="523" t="e">
        <f>L59+M58</f>
        <v>#N/A</v>
      </c>
      <c r="N59" s="523" t="e">
        <f>SUM($F58:$N58)</f>
        <v>#N/A</v>
      </c>
      <c r="O59" s="523" t="e">
        <f>SUM($F58:$O58)</f>
        <v>#N/A</v>
      </c>
      <c r="P59" s="695"/>
      <c r="Q59" s="674"/>
      <c r="R59" s="695"/>
      <c r="S59" s="523">
        <f>B56</f>
        <v>50</v>
      </c>
      <c r="T59" s="287">
        <f>$A56</f>
        <v>0</v>
      </c>
      <c r="U59" s="287">
        <v>4</v>
      </c>
      <c r="V59" s="287" t="s">
        <v>162</v>
      </c>
      <c r="W59" s="372" t="e">
        <f t="shared" ref="W59:AF59" si="8">F59</f>
        <v>#N/A</v>
      </c>
      <c r="X59" s="372" t="e">
        <f t="shared" si="8"/>
        <v>#N/A</v>
      </c>
      <c r="Y59" s="372" t="e">
        <f t="shared" si="8"/>
        <v>#N/A</v>
      </c>
      <c r="Z59" s="372" t="e">
        <f t="shared" si="8"/>
        <v>#N/A</v>
      </c>
      <c r="AA59" s="372" t="e">
        <f t="shared" si="8"/>
        <v>#N/A</v>
      </c>
      <c r="AB59" s="372" t="e">
        <f t="shared" si="8"/>
        <v>#N/A</v>
      </c>
      <c r="AC59" s="372" t="e">
        <f t="shared" si="8"/>
        <v>#N/A</v>
      </c>
      <c r="AD59" s="372" t="e">
        <f t="shared" si="8"/>
        <v>#N/A</v>
      </c>
      <c r="AE59" s="372" t="e">
        <f t="shared" si="8"/>
        <v>#N/A</v>
      </c>
      <c r="AF59" s="372" t="e">
        <f t="shared" si="8"/>
        <v>#N/A</v>
      </c>
      <c r="AH59" s="231"/>
      <c r="AI59" s="231"/>
      <c r="AJ59" s="404">
        <v>455</v>
      </c>
      <c r="AK59" s="231"/>
    </row>
    <row r="60" spans="1:37" s="280" customFormat="1" hidden="1" x14ac:dyDescent="0.25">
      <c r="A60" s="625"/>
      <c r="B60" s="698"/>
      <c r="C60" s="691"/>
      <c r="D60" s="699"/>
      <c r="E60" s="692" t="s">
        <v>59</v>
      </c>
      <c r="F60" s="698" t="e">
        <f>RANK(F59,$W$19:$W$135,0)</f>
        <v>#N/A</v>
      </c>
      <c r="G60" s="698" t="e">
        <f>RANK(G59,$X$19:$X$135,0)</f>
        <v>#N/A</v>
      </c>
      <c r="H60" s="698" t="e">
        <f>RANK(H59,$Y$19:$Y$135,0)</f>
        <v>#N/A</v>
      </c>
      <c r="I60" s="698" t="e">
        <f>RANK(I59,$Z$19:$Z$135,0)</f>
        <v>#N/A</v>
      </c>
      <c r="J60" s="700" t="e">
        <f>RANK(J59,$AA$19:$AA$110,0)</f>
        <v>#N/A</v>
      </c>
      <c r="K60" s="698" t="e">
        <f>RANK(K59,$AB$19:$AB$109,0)</f>
        <v>#N/A</v>
      </c>
      <c r="L60" s="698" t="e">
        <f>RANK(L59,$AC$19:$AC$115,0)</f>
        <v>#N/A</v>
      </c>
      <c r="M60" s="698" t="e">
        <f>RANK(M59,$AD$19:$AD$135,0)</f>
        <v>#N/A</v>
      </c>
      <c r="N60" s="698" t="e">
        <f>RANK(N59,$AE$19:$AE$135,0)</f>
        <v>#N/A</v>
      </c>
      <c r="O60" s="698" t="e">
        <f>RANK(O59,$AF$19:$AF$135,0)</f>
        <v>#N/A</v>
      </c>
      <c r="P60" s="648"/>
      <c r="Q60" s="701"/>
      <c r="R60" s="696"/>
      <c r="S60" s="675">
        <f>B56</f>
        <v>50</v>
      </c>
      <c r="T60" s="287">
        <f>$A56</f>
        <v>0</v>
      </c>
      <c r="U60" s="287">
        <v>5</v>
      </c>
      <c r="V60" s="287" t="s">
        <v>162</v>
      </c>
      <c r="W60" s="449"/>
      <c r="X60" s="307"/>
      <c r="Y60" s="307"/>
      <c r="Z60" s="307"/>
      <c r="AA60" s="307"/>
      <c r="AB60" s="307"/>
      <c r="AC60" s="307"/>
      <c r="AD60" s="450"/>
      <c r="AE60" s="450"/>
      <c r="AF60" s="450"/>
      <c r="AH60" s="231"/>
      <c r="AI60" s="231"/>
      <c r="AJ60" s="404">
        <v>455</v>
      </c>
      <c r="AK60" s="231"/>
    </row>
    <row r="61" spans="1:37" s="280" customFormat="1" hidden="1" x14ac:dyDescent="0.35">
      <c r="A61" s="686"/>
      <c r="B61" s="523">
        <v>44</v>
      </c>
      <c r="C61" s="690" t="str">
        <f>VLOOKUP(B61,Уч!$A$2:$L$34,2,FALSE)</f>
        <v>Хамедов Игорь</v>
      </c>
      <c r="D61" s="528" t="str">
        <f>VLOOKUP(B61,Уч!$A$2:$L$34,3,FALSE)</f>
        <v>30.05.1998</v>
      </c>
      <c r="E61" s="509" t="s">
        <v>19</v>
      </c>
      <c r="F61" s="670">
        <f>VLOOKUP($B61,'100 м 1'!$C$18:$I$87,5,FALSE)</f>
        <v>11.78</v>
      </c>
      <c r="G61" s="670">
        <f>VLOOKUP($B61,'длина 2 '!$C$16:$O$54,11,FALSE)</f>
        <v>6.12</v>
      </c>
      <c r="H61" s="670">
        <f>VLOOKUP($B61,'ядро 2'!$C$16:$K$60,8,FALSE)</f>
        <v>13.22</v>
      </c>
      <c r="I61" s="670">
        <f>VLOOKUP($B61,'высота 2'!$C$16:$AF$57,29,FALSE)</f>
        <v>1.91</v>
      </c>
      <c r="J61" s="671">
        <f>VLOOKUP($B61,'4_р'!$C$17:$H$73,5,FALSE)</f>
        <v>50.15</v>
      </c>
      <c r="K61" s="670">
        <f>VLOOKUP($B61,'1cб_р'!$C$17:$I$67,5,FALSE)</f>
        <v>16.11</v>
      </c>
      <c r="L61" s="670">
        <f>VLOOKUP($B61,Дс_р!$C$16:$K$70,8,FALSE)</f>
        <v>33.67</v>
      </c>
      <c r="M61" s="670">
        <f>VLOOKUP($B61,Ш_р!$C$15:$AF$69,29,FALSE)</f>
        <v>3.6</v>
      </c>
      <c r="N61" s="670">
        <f>VLOOKUP($B61,К_р!$C$15:$K$68,8,FALSE)</f>
        <v>47.52</v>
      </c>
      <c r="O61" s="523" t="str">
        <f>VLOOKUP($B61,'15_р'!$C$17:$H$86,5,FALSE)</f>
        <v>4:41.81</v>
      </c>
      <c r="P61" s="695">
        <f>SUM(F63:O63)</f>
        <v>5171</v>
      </c>
      <c r="Q61" s="522">
        <f>LOOKUP(P61,Y$1:AH$1,Y$2:AH$2)</f>
        <v>2</v>
      </c>
      <c r="R61" s="694" t="e">
        <f>AH61+AI61+5</f>
        <v>#N/A</v>
      </c>
      <c r="S61" s="523">
        <f>B61</f>
        <v>44</v>
      </c>
      <c r="T61" s="287">
        <f>$A61</f>
        <v>0</v>
      </c>
      <c r="U61" s="287">
        <v>1</v>
      </c>
      <c r="V61" s="287" t="s">
        <v>162</v>
      </c>
      <c r="W61" s="307"/>
      <c r="X61" s="307"/>
      <c r="Y61" s="307"/>
      <c r="Z61" s="307"/>
      <c r="AA61" s="307"/>
      <c r="AB61" s="307"/>
      <c r="AC61" s="307"/>
      <c r="AD61" s="450"/>
      <c r="AE61" s="450"/>
      <c r="AF61" s="450"/>
      <c r="AH61" s="280" t="e">
        <f>IF(AND(T61&gt;16,P61&gt;=6200),"1",LOOKUP(T61,Y$5:AO$5,Y$6:AO$6))</f>
        <v>#N/A</v>
      </c>
      <c r="AI61" s="280">
        <f>LOOKUP(Q61,Y$8:AD$8,Y$9:AD$9)</f>
        <v>0</v>
      </c>
      <c r="AJ61" s="404">
        <v>462</v>
      </c>
      <c r="AK61" s="231"/>
    </row>
    <row r="62" spans="1:37" s="280" customFormat="1" hidden="1" x14ac:dyDescent="0.35">
      <c r="A62" s="686"/>
      <c r="B62" s="523"/>
      <c r="C62" s="688" t="str">
        <f>VLOOKUP(B61,Уч!$A$2:$L$34,5,FALSE)</f>
        <v xml:space="preserve">Кемеровская область  </v>
      </c>
      <c r="D62" s="528" t="str">
        <f>VLOOKUP(B61,Уч!$A$2:$L$34,4,FALSE)</f>
        <v>КМС</v>
      </c>
      <c r="E62" s="509" t="s">
        <v>25</v>
      </c>
      <c r="F62" s="672">
        <f>VLOOKUP($B61,'100 м 1'!$C$18:$I$87,6,FALSE)</f>
        <v>0.8</v>
      </c>
      <c r="G62" s="672">
        <f>VLOOKUP($B61,'длина 2 '!$C$16:$O$54,12,FALSE)</f>
        <v>0</v>
      </c>
      <c r="H62" s="523"/>
      <c r="I62" s="672"/>
      <c r="J62" s="673"/>
      <c r="K62" s="672">
        <f>VLOOKUP($B61,'1cб_р'!$C$17:$I$67,6,FALSE)</f>
        <v>0</v>
      </c>
      <c r="L62" s="672"/>
      <c r="M62" s="672"/>
      <c r="N62" s="523"/>
      <c r="O62" s="523"/>
      <c r="P62" s="695"/>
      <c r="Q62" s="674"/>
      <c r="R62" s="694" t="e">
        <f>CONCATENATE(AH61,"+",AI61,"+",5)</f>
        <v>#N/A</v>
      </c>
      <c r="S62" s="523">
        <f>B61</f>
        <v>44</v>
      </c>
      <c r="T62" s="287">
        <f>$A61</f>
        <v>0</v>
      </c>
      <c r="U62" s="287">
        <v>2</v>
      </c>
      <c r="V62" s="287" t="s">
        <v>162</v>
      </c>
      <c r="W62" s="307"/>
      <c r="X62" s="307"/>
      <c r="Y62" s="307"/>
      <c r="Z62" s="307"/>
      <c r="AA62" s="307"/>
      <c r="AB62" s="307"/>
      <c r="AC62" s="307"/>
      <c r="AD62" s="450"/>
      <c r="AE62" s="450"/>
      <c r="AF62" s="450"/>
      <c r="AH62" s="231"/>
      <c r="AI62" s="231"/>
      <c r="AJ62" s="404">
        <v>462</v>
      </c>
      <c r="AK62" s="231"/>
    </row>
    <row r="63" spans="1:37" s="280" customFormat="1" hidden="1" x14ac:dyDescent="0.35">
      <c r="A63" s="686"/>
      <c r="B63" s="523"/>
      <c r="C63" s="689" t="str">
        <f>VLOOKUP(B61,Уч!$A$2:$L$34,7,FALSE)</f>
        <v>МАФСУ "СШ №7"</v>
      </c>
      <c r="D63" s="525"/>
      <c r="E63" s="509" t="s">
        <v>29</v>
      </c>
      <c r="F63" s="523">
        <f>VLOOKUP($B61,'100 м 1'!$C$18:$I$87,7,FALSE)</f>
        <v>695</v>
      </c>
      <c r="G63" s="523">
        <f>VLOOKUP($B61,'длина 2 '!$C$16:$O$54,13,FALSE)</f>
        <v>0</v>
      </c>
      <c r="H63" s="523">
        <f>VLOOKUP($B61,'ядро 2'!$C$16:$K$60,9,FALSE)</f>
        <v>681</v>
      </c>
      <c r="I63" s="523">
        <f>VLOOKUP($B61,'высота 2'!$C$16:$AF$57,30,)</f>
        <v>0</v>
      </c>
      <c r="J63" s="526">
        <f>VLOOKUP($B61,'4_р'!$C$17:$H$73,6,FALSE)</f>
        <v>808</v>
      </c>
      <c r="K63" s="523">
        <f>VLOOKUP($B61,'1cб_р'!$C$17:$I$67,7,FALSE)</f>
        <v>720</v>
      </c>
      <c r="L63" s="523">
        <f>VLOOKUP($B61,Дс_р!$C$16:$K$70,9,FALSE)</f>
        <v>537</v>
      </c>
      <c r="M63" s="523">
        <f>VLOOKUP($B61,Ш_р!$C$15:$AF$69,30,FALSE)</f>
        <v>509</v>
      </c>
      <c r="N63" s="523">
        <f>VLOOKUP($B61,К_р!$C$15:$K$68,9,FALSE)</f>
        <v>552</v>
      </c>
      <c r="O63" s="523">
        <f>VLOOKUP($B61,'15_р'!$C$17:$H$86,6,FALSE)</f>
        <v>669</v>
      </c>
      <c r="P63" s="695"/>
      <c r="Q63" s="650"/>
      <c r="R63" s="695"/>
      <c r="S63" s="523">
        <f>B61</f>
        <v>44</v>
      </c>
      <c r="T63" s="287">
        <f>$A61</f>
        <v>0</v>
      </c>
      <c r="U63" s="287">
        <v>3</v>
      </c>
      <c r="V63" s="287" t="s">
        <v>162</v>
      </c>
      <c r="W63" s="307"/>
      <c r="X63" s="307"/>
      <c r="Y63" s="307"/>
      <c r="Z63" s="307"/>
      <c r="AA63" s="307"/>
      <c r="AB63" s="307"/>
      <c r="AC63" s="307"/>
      <c r="AD63" s="450"/>
      <c r="AE63" s="450"/>
      <c r="AF63" s="450"/>
      <c r="AH63" s="231"/>
      <c r="AI63" s="231"/>
      <c r="AJ63" s="404">
        <v>462</v>
      </c>
      <c r="AK63" s="231"/>
    </row>
    <row r="64" spans="1:37" s="280" customFormat="1" hidden="1" x14ac:dyDescent="0.35">
      <c r="A64" s="686"/>
      <c r="B64" s="523"/>
      <c r="C64" s="688" t="str">
        <f>VLOOKUP(B61,Уч!$A$2:$L$34,11,FALSE)</f>
        <v>Быков И.С., Чернявская Ю.В., Ляпин И.М.</v>
      </c>
      <c r="D64" s="525"/>
      <c r="E64" s="509" t="s">
        <v>276</v>
      </c>
      <c r="F64" s="523">
        <f>F63</f>
        <v>695</v>
      </c>
      <c r="G64" s="523">
        <f>F64+G63</f>
        <v>695</v>
      </c>
      <c r="H64" s="523">
        <f>G64+H63</f>
        <v>1376</v>
      </c>
      <c r="I64" s="523">
        <f>H64+I63</f>
        <v>1376</v>
      </c>
      <c r="J64" s="526">
        <f>SUM($F63:J63)</f>
        <v>2184</v>
      </c>
      <c r="K64" s="523">
        <f>SUM($F63:$K63)</f>
        <v>2904</v>
      </c>
      <c r="L64" s="523">
        <f>K64+L63</f>
        <v>3441</v>
      </c>
      <c r="M64" s="523">
        <f>L64+M63</f>
        <v>3950</v>
      </c>
      <c r="N64" s="523">
        <f>SUM($F63:$N63)</f>
        <v>4502</v>
      </c>
      <c r="O64" s="523">
        <f>SUM($F63:$O63)</f>
        <v>5171</v>
      </c>
      <c r="P64" s="695"/>
      <c r="Q64" s="650"/>
      <c r="R64" s="695"/>
      <c r="S64" s="523">
        <f>B61</f>
        <v>44</v>
      </c>
      <c r="T64" s="287">
        <f>$A61</f>
        <v>0</v>
      </c>
      <c r="U64" s="287">
        <v>4</v>
      </c>
      <c r="V64" s="287" t="s">
        <v>162</v>
      </c>
      <c r="W64" s="372">
        <f t="shared" ref="W64:AF64" si="9">F64</f>
        <v>695</v>
      </c>
      <c r="X64" s="372">
        <f t="shared" si="9"/>
        <v>695</v>
      </c>
      <c r="Y64" s="372">
        <f t="shared" si="9"/>
        <v>1376</v>
      </c>
      <c r="Z64" s="372">
        <f t="shared" si="9"/>
        <v>1376</v>
      </c>
      <c r="AA64" s="372">
        <f t="shared" si="9"/>
        <v>2184</v>
      </c>
      <c r="AB64" s="372">
        <f t="shared" si="9"/>
        <v>2904</v>
      </c>
      <c r="AC64" s="372">
        <f t="shared" si="9"/>
        <v>3441</v>
      </c>
      <c r="AD64" s="372">
        <f t="shared" si="9"/>
        <v>3950</v>
      </c>
      <c r="AE64" s="372">
        <f t="shared" si="9"/>
        <v>4502</v>
      </c>
      <c r="AF64" s="372">
        <f t="shared" si="9"/>
        <v>5171</v>
      </c>
      <c r="AH64" s="231"/>
      <c r="AI64" s="231"/>
      <c r="AJ64" s="404">
        <v>462</v>
      </c>
      <c r="AK64" s="287"/>
    </row>
    <row r="65" spans="1:41" s="280" customFormat="1" hidden="1" x14ac:dyDescent="0.25">
      <c r="A65" s="625"/>
      <c r="B65" s="698"/>
      <c r="C65" s="691"/>
      <c r="D65" s="703"/>
      <c r="E65" s="692" t="s">
        <v>59</v>
      </c>
      <c r="F65" s="698" t="e">
        <f>RANK(F64,$W$19:$W$135,0)</f>
        <v>#N/A</v>
      </c>
      <c r="G65" s="698" t="e">
        <f>RANK(G64,$X$19:$X$135,0)</f>
        <v>#N/A</v>
      </c>
      <c r="H65" s="698" t="e">
        <f>RANK(H64,$Y$19:$Y$135,0)</f>
        <v>#N/A</v>
      </c>
      <c r="I65" s="698" t="e">
        <f>RANK(I64,$Z$19:$Z$135,0)</f>
        <v>#N/A</v>
      </c>
      <c r="J65" s="700" t="e">
        <f>RANK(J64,$AA$19:$AA$110,0)</f>
        <v>#N/A</v>
      </c>
      <c r="K65" s="698" t="e">
        <f>RANK(K64,$AB$19:$AB$109,0)</f>
        <v>#N/A</v>
      </c>
      <c r="L65" s="698" t="e">
        <f>RANK(L64,$AC$19:$AC$115,0)</f>
        <v>#N/A</v>
      </c>
      <c r="M65" s="698" t="e">
        <f>RANK(M64,$AD$19:$AD$135,0)</f>
        <v>#N/A</v>
      </c>
      <c r="N65" s="698" t="e">
        <f>RANK(N64,$AE$19:$AE$135,0)</f>
        <v>#N/A</v>
      </c>
      <c r="O65" s="698" t="e">
        <f>RANK(O64,$AF$19:$AF$135,0)</f>
        <v>#N/A</v>
      </c>
      <c r="P65" s="648"/>
      <c r="Q65" s="701"/>
      <c r="R65" s="696"/>
      <c r="S65" s="675">
        <f>B61</f>
        <v>44</v>
      </c>
      <c r="T65" s="287">
        <f>$A61</f>
        <v>0</v>
      </c>
      <c r="U65" s="287">
        <v>5</v>
      </c>
      <c r="V65" s="287" t="s">
        <v>162</v>
      </c>
      <c r="W65" s="307"/>
      <c r="X65" s="307"/>
      <c r="Y65" s="307"/>
      <c r="Z65" s="307"/>
      <c r="AA65" s="307"/>
      <c r="AB65" s="307"/>
      <c r="AC65" s="307"/>
      <c r="AD65" s="450"/>
      <c r="AE65" s="450"/>
      <c r="AF65" s="450"/>
      <c r="AH65" s="231"/>
      <c r="AI65" s="231"/>
      <c r="AJ65" s="404">
        <v>462</v>
      </c>
      <c r="AK65" s="287"/>
    </row>
    <row r="66" spans="1:41" s="280" customFormat="1" hidden="1" x14ac:dyDescent="0.35">
      <c r="A66" s="686"/>
      <c r="B66" s="523">
        <v>80</v>
      </c>
      <c r="C66" s="690" t="e">
        <f>VLOOKUP(B66,Уч!$A$2:$L$34,2,FALSE)</f>
        <v>#N/A</v>
      </c>
      <c r="D66" s="528" t="e">
        <f>VLOOKUP(B66,Уч!$A$2:$L$34,3,FALSE)</f>
        <v>#N/A</v>
      </c>
      <c r="E66" s="509" t="s">
        <v>19</v>
      </c>
      <c r="F66" s="670" t="e">
        <f>VLOOKUP($B66,'100 м 1'!$C$18:$I$87,5,FALSE)</f>
        <v>#N/A</v>
      </c>
      <c r="G66" s="670" t="e">
        <f>VLOOKUP($B66,'длина 2 '!$C$16:$O$54,11,FALSE)</f>
        <v>#N/A</v>
      </c>
      <c r="H66" s="670" t="e">
        <f>VLOOKUP($B66,'ядро 2'!$C$16:$K$60,8,FALSE)</f>
        <v>#N/A</v>
      </c>
      <c r="I66" s="670" t="e">
        <f>VLOOKUP($B66,'высота 2'!$C$16:$AF$57,29,FALSE)</f>
        <v>#N/A</v>
      </c>
      <c r="J66" s="671">
        <f>VLOOKUP($B66,'4_р'!$C$17:$H$73,5,FALSE)</f>
        <v>49.49</v>
      </c>
      <c r="K66" s="670">
        <f>VLOOKUP($B66,'1cб_р'!$C$17:$I$67,5,FALSE)</f>
        <v>15.17</v>
      </c>
      <c r="L66" s="670">
        <f>VLOOKUP($B66,Дс_р!$C$16:$K$70,8,FALSE)</f>
        <v>34.909999999999997</v>
      </c>
      <c r="M66" s="670">
        <f>VLOOKUP($B66,Ш_р!$C$15:$AF$69,29,FALSE)</f>
        <v>3.9</v>
      </c>
      <c r="N66" s="670">
        <f>VLOOKUP($B66,К_р!$C$15:$K$68,8,FALSE)</f>
        <v>37.9</v>
      </c>
      <c r="O66" s="523" t="str">
        <f>VLOOKUP($B66,'15_р'!$C$17:$H$86,5,FALSE)</f>
        <v>4:15.84</v>
      </c>
      <c r="P66" s="695" t="e">
        <f>SUM(F68:O68)</f>
        <v>#N/A</v>
      </c>
      <c r="Q66" s="522" t="e">
        <f>LOOKUP(P66,Y$1:AH$1,Y$2:AH$2)</f>
        <v>#N/A</v>
      </c>
      <c r="R66" s="694" t="e">
        <f>AH66+AI66+5</f>
        <v>#N/A</v>
      </c>
      <c r="S66" s="523">
        <f>B66</f>
        <v>80</v>
      </c>
      <c r="T66" s="287">
        <f>$A66</f>
        <v>0</v>
      </c>
      <c r="U66" s="287">
        <v>1</v>
      </c>
      <c r="V66" s="287">
        <f>$A66</f>
        <v>0</v>
      </c>
      <c r="W66" s="449"/>
      <c r="X66" s="307"/>
      <c r="Y66" s="307"/>
      <c r="Z66" s="307"/>
      <c r="AA66" s="307"/>
      <c r="AB66" s="307"/>
      <c r="AC66" s="307"/>
      <c r="AD66" s="450"/>
      <c r="AE66" s="450"/>
      <c r="AF66" s="450"/>
      <c r="AH66" s="280" t="e">
        <f>IF(AND(T66&gt;16,P66&gt;=6200),"1",LOOKUP(T66,Y$5:AO$5,Y$6:AO$6))</f>
        <v>#N/A</v>
      </c>
      <c r="AI66" s="280" t="e">
        <f>LOOKUP(Q66,Y$8:AD$8,Y$9:AD$9)</f>
        <v>#N/A</v>
      </c>
      <c r="AJ66" s="404">
        <v>459</v>
      </c>
      <c r="AK66" s="231"/>
    </row>
    <row r="67" spans="1:41" s="280" customFormat="1" hidden="1" x14ac:dyDescent="0.35">
      <c r="A67" s="686"/>
      <c r="B67" s="523"/>
      <c r="C67" s="688" t="e">
        <f>VLOOKUP(B66,Уч!$A$2:$L$34,5,FALSE)</f>
        <v>#N/A</v>
      </c>
      <c r="D67" s="525" t="e">
        <f>VLOOKUP(B66,Уч!$A$2:$L$34,4,FALSE)</f>
        <v>#N/A</v>
      </c>
      <c r="E67" s="509" t="s">
        <v>25</v>
      </c>
      <c r="F67" s="672" t="e">
        <f>VLOOKUP($B66,'100 м 1'!$C$18:$I$87,6,FALSE)</f>
        <v>#N/A</v>
      </c>
      <c r="G67" s="672" t="e">
        <f>VLOOKUP($B66,'длина 2 '!$C$16:$O$54,12,FALSE)</f>
        <v>#N/A</v>
      </c>
      <c r="H67" s="523"/>
      <c r="I67" s="672"/>
      <c r="J67" s="673"/>
      <c r="K67" s="672">
        <f>VLOOKUP($B66,'1cб_р'!$C$17:$I$67,6,FALSE)</f>
        <v>-1.5</v>
      </c>
      <c r="L67" s="672"/>
      <c r="M67" s="672"/>
      <c r="N67" s="523"/>
      <c r="O67" s="523"/>
      <c r="P67" s="695"/>
      <c r="Q67" s="674"/>
      <c r="R67" s="694" t="e">
        <f>CONCATENATE(AH66,"+",AI66,"+",5)</f>
        <v>#N/A</v>
      </c>
      <c r="S67" s="523">
        <f>B66</f>
        <v>80</v>
      </c>
      <c r="T67" s="287">
        <f>$A66</f>
        <v>0</v>
      </c>
      <c r="U67" s="287">
        <v>2</v>
      </c>
      <c r="V67" s="287">
        <f>$A66</f>
        <v>0</v>
      </c>
      <c r="W67" s="449"/>
      <c r="X67" s="307"/>
      <c r="Y67" s="307"/>
      <c r="Z67" s="307"/>
      <c r="AA67" s="307"/>
      <c r="AB67" s="307"/>
      <c r="AC67" s="307"/>
      <c r="AD67" s="450"/>
      <c r="AE67" s="450"/>
      <c r="AF67" s="450"/>
      <c r="AH67" s="231"/>
      <c r="AI67" s="231"/>
      <c r="AJ67" s="404">
        <v>459</v>
      </c>
      <c r="AK67" s="231"/>
    </row>
    <row r="68" spans="1:41" s="280" customFormat="1" hidden="1" x14ac:dyDescent="0.35">
      <c r="A68" s="686"/>
      <c r="B68" s="523"/>
      <c r="C68" s="689" t="e">
        <f>VLOOKUP(B66,Уч!$A$2:$L$34,7,FALSE)</f>
        <v>#N/A</v>
      </c>
      <c r="D68" s="525"/>
      <c r="E68" s="509" t="s">
        <v>29</v>
      </c>
      <c r="F68" s="523" t="e">
        <f>VLOOKUP($B66,'100 м 1'!$C$18:$I$87,7,FALSE)</f>
        <v>#N/A</v>
      </c>
      <c r="G68" s="523" t="e">
        <f>VLOOKUP($B66,'длина 2 '!$C$16:$O$54,13,FALSE)</f>
        <v>#N/A</v>
      </c>
      <c r="H68" s="523" t="e">
        <f>VLOOKUP($B66,'ядро 2'!$C$16:$K$60,9,FALSE)</f>
        <v>#N/A</v>
      </c>
      <c r="I68" s="523" t="e">
        <f>VLOOKUP($B66,'высота 2'!$C$16:$AF$57,30,)</f>
        <v>#N/A</v>
      </c>
      <c r="J68" s="526">
        <f>VLOOKUP($B66,'4_р'!$C$17:$H$73,6,FALSE)</f>
        <v>838</v>
      </c>
      <c r="K68" s="523">
        <f>VLOOKUP($B66,'1cб_р'!$C$17:$I$67,7,FALSE)</f>
        <v>829</v>
      </c>
      <c r="L68" s="523">
        <f>VLOOKUP($B66,Дс_р!$C$16:$K$70,9,FALSE)</f>
        <v>562</v>
      </c>
      <c r="M68" s="523">
        <f>VLOOKUP($B66,Ш_р!$C$15:$AF$69,30,FALSE)</f>
        <v>590</v>
      </c>
      <c r="N68" s="523">
        <f>VLOOKUP($B66,К_р!$C$15:$K$68,9,FALSE)</f>
        <v>412</v>
      </c>
      <c r="O68" s="523">
        <f>VLOOKUP($B66,'15_р'!$C$17:$H$86,6,FALSE)</f>
        <v>840</v>
      </c>
      <c r="P68" s="695"/>
      <c r="Q68" s="676"/>
      <c r="R68" s="695"/>
      <c r="S68" s="523">
        <f>B66</f>
        <v>80</v>
      </c>
      <c r="T68" s="287">
        <f>$A66</f>
        <v>0</v>
      </c>
      <c r="U68" s="287">
        <v>3</v>
      </c>
      <c r="V68" s="287">
        <f>$A66</f>
        <v>0</v>
      </c>
      <c r="W68" s="449"/>
      <c r="X68" s="307"/>
      <c r="Y68" s="307"/>
      <c r="Z68" s="307"/>
      <c r="AA68" s="307"/>
      <c r="AB68" s="307"/>
      <c r="AC68" s="307"/>
      <c r="AD68" s="450"/>
      <c r="AE68" s="450"/>
      <c r="AF68" s="450"/>
      <c r="AH68" s="231"/>
      <c r="AI68" s="231"/>
      <c r="AJ68" s="404">
        <v>459</v>
      </c>
      <c r="AK68" s="231"/>
    </row>
    <row r="69" spans="1:41" s="280" customFormat="1" hidden="1" x14ac:dyDescent="0.35">
      <c r="A69" s="686"/>
      <c r="B69" s="523"/>
      <c r="C69" s="688" t="e">
        <f>VLOOKUP(B66,Уч!$A$2:$L$34,11,FALSE)</f>
        <v>#N/A</v>
      </c>
      <c r="D69" s="525"/>
      <c r="E69" s="509" t="s">
        <v>276</v>
      </c>
      <c r="F69" s="523" t="e">
        <f>F68</f>
        <v>#N/A</v>
      </c>
      <c r="G69" s="523" t="e">
        <f>F69+G68</f>
        <v>#N/A</v>
      </c>
      <c r="H69" s="523" t="e">
        <f>G69+H68</f>
        <v>#N/A</v>
      </c>
      <c r="I69" s="523" t="e">
        <f>H69+I68</f>
        <v>#N/A</v>
      </c>
      <c r="J69" s="526" t="e">
        <f>SUM($F68:J68)</f>
        <v>#N/A</v>
      </c>
      <c r="K69" s="523" t="e">
        <f>SUM($F68:$K68)</f>
        <v>#N/A</v>
      </c>
      <c r="L69" s="523" t="e">
        <f>K69+L68</f>
        <v>#N/A</v>
      </c>
      <c r="M69" s="523" t="e">
        <f>L69+M68</f>
        <v>#N/A</v>
      </c>
      <c r="N69" s="523" t="e">
        <f>SUM($F68:$N68)</f>
        <v>#N/A</v>
      </c>
      <c r="O69" s="523" t="e">
        <f>SUM($F68:$O68)</f>
        <v>#N/A</v>
      </c>
      <c r="P69" s="695"/>
      <c r="Q69" s="674"/>
      <c r="R69" s="695"/>
      <c r="S69" s="523">
        <f>B66</f>
        <v>80</v>
      </c>
      <c r="T69" s="287">
        <f>$A66</f>
        <v>0</v>
      </c>
      <c r="U69" s="287">
        <v>4</v>
      </c>
      <c r="V69" s="287">
        <f>$A66</f>
        <v>0</v>
      </c>
      <c r="W69" s="372" t="e">
        <f t="shared" ref="W69:AF69" si="10">F69</f>
        <v>#N/A</v>
      </c>
      <c r="X69" s="372" t="e">
        <f t="shared" si="10"/>
        <v>#N/A</v>
      </c>
      <c r="Y69" s="372" t="e">
        <f t="shared" si="10"/>
        <v>#N/A</v>
      </c>
      <c r="Z69" s="372" t="e">
        <f t="shared" si="10"/>
        <v>#N/A</v>
      </c>
      <c r="AA69" s="372" t="e">
        <f t="shared" si="10"/>
        <v>#N/A</v>
      </c>
      <c r="AB69" s="372" t="e">
        <f t="shared" si="10"/>
        <v>#N/A</v>
      </c>
      <c r="AC69" s="372" t="e">
        <f t="shared" si="10"/>
        <v>#N/A</v>
      </c>
      <c r="AD69" s="372" t="e">
        <f t="shared" si="10"/>
        <v>#N/A</v>
      </c>
      <c r="AE69" s="372" t="e">
        <f t="shared" si="10"/>
        <v>#N/A</v>
      </c>
      <c r="AF69" s="372" t="e">
        <f t="shared" si="10"/>
        <v>#N/A</v>
      </c>
      <c r="AH69" s="231"/>
      <c r="AI69" s="231"/>
      <c r="AJ69" s="404">
        <v>459</v>
      </c>
      <c r="AK69" s="231"/>
    </row>
    <row r="70" spans="1:41" s="280" customFormat="1" hidden="1" x14ac:dyDescent="0.25">
      <c r="A70" s="625"/>
      <c r="B70" s="698"/>
      <c r="C70" s="691"/>
      <c r="D70" s="703"/>
      <c r="E70" s="692" t="s">
        <v>59</v>
      </c>
      <c r="F70" s="698" t="e">
        <f>RANK(F69,$W$19:$W$135,0)</f>
        <v>#N/A</v>
      </c>
      <c r="G70" s="698" t="e">
        <f>RANK(G69,$X$19:$X$135,0)</f>
        <v>#N/A</v>
      </c>
      <c r="H70" s="698" t="e">
        <f>RANK(H69,$Y$19:$Y$135,0)</f>
        <v>#N/A</v>
      </c>
      <c r="I70" s="698" t="e">
        <f>RANK(I69,$Z$19:$Z$135,0)</f>
        <v>#N/A</v>
      </c>
      <c r="J70" s="700" t="e">
        <f>RANK(J69,$AA$19:$AA$110,0)</f>
        <v>#N/A</v>
      </c>
      <c r="K70" s="698" t="e">
        <f>RANK(K69,$AB$19:$AB$109,0)</f>
        <v>#N/A</v>
      </c>
      <c r="L70" s="698" t="e">
        <f>RANK(L69,$AC$19:$AC$115,0)</f>
        <v>#N/A</v>
      </c>
      <c r="M70" s="698" t="e">
        <f>RANK(M69,$AD$19:$AD$135,0)</f>
        <v>#N/A</v>
      </c>
      <c r="N70" s="698" t="e">
        <f>RANK(N69,$AE$19:$AE$135,0)</f>
        <v>#N/A</v>
      </c>
      <c r="O70" s="698" t="e">
        <f>RANK(O69,$AF$19:$AF$135,0)</f>
        <v>#N/A</v>
      </c>
      <c r="P70" s="648"/>
      <c r="Q70" s="701"/>
      <c r="R70" s="696"/>
      <c r="S70" s="675">
        <f>B66</f>
        <v>80</v>
      </c>
      <c r="T70" s="287">
        <f>$A66</f>
        <v>0</v>
      </c>
      <c r="U70" s="287">
        <v>5</v>
      </c>
      <c r="V70" s="287">
        <f>$A66</f>
        <v>0</v>
      </c>
      <c r="W70" s="449"/>
      <c r="X70" s="307"/>
      <c r="Y70" s="307"/>
      <c r="Z70" s="307"/>
      <c r="AA70" s="307"/>
      <c r="AB70" s="307"/>
      <c r="AC70" s="307"/>
      <c r="AD70" s="450"/>
      <c r="AE70" s="450"/>
      <c r="AF70" s="450"/>
      <c r="AH70" s="231"/>
      <c r="AI70" s="231"/>
      <c r="AJ70" s="404">
        <v>459</v>
      </c>
      <c r="AK70" s="231"/>
    </row>
    <row r="71" spans="1:41" s="280" customFormat="1" hidden="1" x14ac:dyDescent="0.35">
      <c r="A71" s="686"/>
      <c r="B71" s="523">
        <v>81</v>
      </c>
      <c r="C71" s="690" t="str">
        <f>VLOOKUP(B71,Уч!$A$2:$L$34,2,FALSE)</f>
        <v>Исаев Максим</v>
      </c>
      <c r="D71" s="528" t="str">
        <f>VLOOKUP(B71,Уч!$A$2:$L$34,3,FALSE)</f>
        <v>10.07.1997</v>
      </c>
      <c r="E71" s="509" t="s">
        <v>19</v>
      </c>
      <c r="F71" s="670">
        <f>VLOOKUP($B71,'100 м 1'!$C$18:$I$87,5,FALSE)</f>
        <v>11.7</v>
      </c>
      <c r="G71" s="670" t="e">
        <f>VLOOKUP($B71,'длина 2 '!$C$16:$O$54,11,FALSE)</f>
        <v>#N/A</v>
      </c>
      <c r="H71" s="670" t="e">
        <f>VLOOKUP($B71,'ядро 2'!$C$16:$K$60,8,FALSE)</f>
        <v>#N/A</v>
      </c>
      <c r="I71" s="670" t="e">
        <f>VLOOKUP($B71,'высота 2'!$C$16:$AF$57,29,FALSE)</f>
        <v>#N/A</v>
      </c>
      <c r="J71" s="671">
        <f>VLOOKUP($B71,'4_р'!$C$17:$H$73,5,FALSE)</f>
        <v>51.28</v>
      </c>
      <c r="K71" s="670">
        <f>VLOOKUP($B71,'1cб_р'!$C$17:$I$67,5,FALSE)</f>
        <v>17.100000000000001</v>
      </c>
      <c r="L71" s="670">
        <f>VLOOKUP($B71,Дс_р!$C$16:$K$70,8,FALSE)</f>
        <v>32.9</v>
      </c>
      <c r="M71" s="670">
        <f>VLOOKUP($B71,Ш_р!$C$15:$AF$69,29,FALSE)</f>
        <v>4</v>
      </c>
      <c r="N71" s="670">
        <f>VLOOKUP($B71,К_р!$C$15:$K$68,8,FALSE)</f>
        <v>47.22</v>
      </c>
      <c r="O71" s="523" t="str">
        <f>VLOOKUP($B71,'15_р'!$C$17:$H$86,5,FALSE)</f>
        <v>4:36.63</v>
      </c>
      <c r="P71" s="695" t="e">
        <f>SUM(F73:O73)</f>
        <v>#N/A</v>
      </c>
      <c r="Q71" s="522" t="e">
        <f>LOOKUP(P71,Y$1:AH$1,Y$2:AH$2)</f>
        <v>#N/A</v>
      </c>
      <c r="R71" s="694" t="e">
        <f>AH71+AI71+5</f>
        <v>#N/A</v>
      </c>
      <c r="S71" s="523">
        <f>B71</f>
        <v>81</v>
      </c>
      <c r="T71" s="287">
        <f>$A71</f>
        <v>0</v>
      </c>
      <c r="U71" s="287">
        <v>1</v>
      </c>
      <c r="V71" s="287">
        <f>$A71</f>
        <v>0</v>
      </c>
      <c r="W71" s="449"/>
      <c r="X71" s="307"/>
      <c r="Y71" s="307"/>
      <c r="Z71" s="307"/>
      <c r="AA71" s="307"/>
      <c r="AB71" s="307"/>
      <c r="AC71" s="307"/>
      <c r="AD71" s="450"/>
      <c r="AE71" s="450"/>
      <c r="AF71" s="450"/>
      <c r="AH71" s="280" t="e">
        <f>IF(AND(T71&gt;16,P71&gt;=6200),"1",LOOKUP(T71,Y$5:AO$5,Y$6:AO$6))</f>
        <v>#N/A</v>
      </c>
      <c r="AI71" s="280" t="e">
        <f>LOOKUP(Q71,Y$8:AD$8,Y$9:AD$9)</f>
        <v>#N/A</v>
      </c>
      <c r="AJ71" s="404">
        <v>505</v>
      </c>
      <c r="AK71" s="231"/>
    </row>
    <row r="72" spans="1:41" s="280" customFormat="1" hidden="1" x14ac:dyDescent="0.35">
      <c r="A72" s="686"/>
      <c r="B72" s="523"/>
      <c r="C72" s="688" t="str">
        <f>VLOOKUP(B71,Уч!$A$2:$L$34,5,FALSE)</f>
        <v xml:space="preserve">Челябинская область  </v>
      </c>
      <c r="D72" s="528" t="str">
        <f>VLOOKUP(B71,Уч!$A$2:$L$34,4,FALSE)</f>
        <v>КМС</v>
      </c>
      <c r="E72" s="509" t="s">
        <v>25</v>
      </c>
      <c r="F72" s="672">
        <f>VLOOKUP($B71,'100 м 1'!$C$18:$I$87,6,FALSE)</f>
        <v>0.1</v>
      </c>
      <c r="G72" s="672" t="e">
        <f>VLOOKUP($B71,'длина 2 '!$C$16:$O$54,12,FALSE)</f>
        <v>#N/A</v>
      </c>
      <c r="H72" s="523"/>
      <c r="I72" s="672"/>
      <c r="J72" s="673"/>
      <c r="K72" s="672">
        <f>VLOOKUP($B71,'1cб_р'!$C$17:$I$67,6,FALSE)</f>
        <v>-1</v>
      </c>
      <c r="L72" s="672"/>
      <c r="M72" s="672"/>
      <c r="N72" s="523"/>
      <c r="O72" s="523"/>
      <c r="P72" s="695"/>
      <c r="Q72" s="674"/>
      <c r="R72" s="694" t="e">
        <f>CONCATENATE(AH71,"+",AI71,"+",5)</f>
        <v>#N/A</v>
      </c>
      <c r="S72" s="523">
        <f>B71</f>
        <v>81</v>
      </c>
      <c r="T72" s="287">
        <f>$A71</f>
        <v>0</v>
      </c>
      <c r="U72" s="287">
        <v>2</v>
      </c>
      <c r="V72" s="287">
        <f>$A71</f>
        <v>0</v>
      </c>
      <c r="W72" s="449"/>
      <c r="X72" s="307"/>
      <c r="Y72" s="307"/>
      <c r="Z72" s="307"/>
      <c r="AA72" s="307"/>
      <c r="AB72" s="307"/>
      <c r="AC72" s="307"/>
      <c r="AD72" s="450"/>
      <c r="AE72" s="450"/>
      <c r="AF72" s="450"/>
      <c r="AH72" s="231"/>
      <c r="AI72" s="231"/>
      <c r="AJ72" s="404">
        <v>505</v>
      </c>
      <c r="AK72" s="231"/>
    </row>
    <row r="73" spans="1:41" s="280" customFormat="1" hidden="1" x14ac:dyDescent="0.35">
      <c r="A73" s="686"/>
      <c r="B73" s="523"/>
      <c r="C73" s="689" t="str">
        <f>VLOOKUP(B71,Уч!$A$2:$L$34,7,FALSE)</f>
        <v>МБУ СШОР № 2 по легкой атлетике имени Л.Н.Мосеева г.Челябинск, УралГУФК</v>
      </c>
      <c r="D73" s="528"/>
      <c r="E73" s="509" t="s">
        <v>29</v>
      </c>
      <c r="F73" s="523">
        <f>VLOOKUP($B71,'100 м 1'!$C$18:$I$87,7,FALSE)</f>
        <v>711</v>
      </c>
      <c r="G73" s="523" t="e">
        <f>VLOOKUP($B71,'длина 2 '!$C$16:$O$54,13,FALSE)</f>
        <v>#N/A</v>
      </c>
      <c r="H73" s="523" t="e">
        <f>VLOOKUP($B71,'ядро 2'!$C$16:$K$60,9,FALSE)</f>
        <v>#N/A</v>
      </c>
      <c r="I73" s="523" t="e">
        <f>VLOOKUP($B71,'высота 2'!$C$16:$AF$57,30,)</f>
        <v>#N/A</v>
      </c>
      <c r="J73" s="526">
        <f>VLOOKUP($B71,'4_р'!$C$17:$H$73,6,FALSE)</f>
        <v>757</v>
      </c>
      <c r="K73" s="523">
        <f>VLOOKUP($B71,'1cб_р'!$C$17:$I$67,7,FALSE)</f>
        <v>614</v>
      </c>
      <c r="L73" s="523">
        <f>VLOOKUP($B71,Дс_р!$C$16:$K$70,9,FALSE)</f>
        <v>522</v>
      </c>
      <c r="M73" s="523">
        <f>VLOOKUP($B71,Ш_р!$C$15:$AF$69,30,FALSE)</f>
        <v>617</v>
      </c>
      <c r="N73" s="523">
        <f>VLOOKUP($B71,К_р!$C$15:$K$68,9,FALSE)</f>
        <v>548</v>
      </c>
      <c r="O73" s="523">
        <f>VLOOKUP($B71,'15_р'!$C$17:$H$86,6,FALSE)</f>
        <v>702</v>
      </c>
      <c r="P73" s="695"/>
      <c r="Q73" s="650"/>
      <c r="R73" s="695"/>
      <c r="S73" s="523">
        <f>B71</f>
        <v>81</v>
      </c>
      <c r="T73" s="287">
        <f>$A71</f>
        <v>0</v>
      </c>
      <c r="U73" s="287">
        <v>3</v>
      </c>
      <c r="V73" s="287">
        <f>$A71</f>
        <v>0</v>
      </c>
      <c r="W73" s="449"/>
      <c r="X73" s="307"/>
      <c r="Y73" s="307"/>
      <c r="Z73" s="307"/>
      <c r="AA73" s="307"/>
      <c r="AB73" s="307"/>
      <c r="AC73" s="307"/>
      <c r="AD73" s="450"/>
      <c r="AE73" s="450"/>
      <c r="AF73" s="450"/>
      <c r="AH73" s="231"/>
      <c r="AI73" s="231"/>
      <c r="AJ73" s="404">
        <v>505</v>
      </c>
      <c r="AK73" s="231"/>
    </row>
    <row r="74" spans="1:41" s="280" customFormat="1" hidden="1" x14ac:dyDescent="0.35">
      <c r="A74" s="686"/>
      <c r="B74" s="523"/>
      <c r="C74" s="688" t="str">
        <f>VLOOKUP(B71,Уч!$A$2:$L$34,11,FALSE)</f>
        <v>Пугач С.В.</v>
      </c>
      <c r="D74" s="528"/>
      <c r="E74" s="509" t="s">
        <v>276</v>
      </c>
      <c r="F74" s="523">
        <f>F73</f>
        <v>711</v>
      </c>
      <c r="G74" s="523" t="e">
        <f>F74+G73</f>
        <v>#N/A</v>
      </c>
      <c r="H74" s="523" t="e">
        <f>G74+H73</f>
        <v>#N/A</v>
      </c>
      <c r="I74" s="523" t="e">
        <f>H74+I73</f>
        <v>#N/A</v>
      </c>
      <c r="J74" s="526" t="e">
        <f>SUM($F73:J73)</f>
        <v>#N/A</v>
      </c>
      <c r="K74" s="523" t="e">
        <f>SUM($F73:$K73)</f>
        <v>#N/A</v>
      </c>
      <c r="L74" s="523" t="e">
        <f>K74+L73</f>
        <v>#N/A</v>
      </c>
      <c r="M74" s="523" t="e">
        <f>L74+M73</f>
        <v>#N/A</v>
      </c>
      <c r="N74" s="523" t="e">
        <f>SUM($F73:$N73)</f>
        <v>#N/A</v>
      </c>
      <c r="O74" s="523" t="e">
        <f>SUM($F73:$O73)</f>
        <v>#N/A</v>
      </c>
      <c r="P74" s="695"/>
      <c r="Q74" s="650"/>
      <c r="R74" s="695"/>
      <c r="S74" s="523">
        <f>B71</f>
        <v>81</v>
      </c>
      <c r="T74" s="287">
        <f>$A71</f>
        <v>0</v>
      </c>
      <c r="U74" s="287">
        <v>4</v>
      </c>
      <c r="V74" s="287">
        <f>$A71</f>
        <v>0</v>
      </c>
      <c r="W74" s="372">
        <f t="shared" ref="W74:AF74" si="11">F74</f>
        <v>711</v>
      </c>
      <c r="X74" s="372" t="e">
        <f t="shared" si="11"/>
        <v>#N/A</v>
      </c>
      <c r="Y74" s="372" t="e">
        <f t="shared" si="11"/>
        <v>#N/A</v>
      </c>
      <c r="Z74" s="372" t="e">
        <f t="shared" si="11"/>
        <v>#N/A</v>
      </c>
      <c r="AA74" s="372" t="e">
        <f t="shared" si="11"/>
        <v>#N/A</v>
      </c>
      <c r="AB74" s="372" t="e">
        <f t="shared" si="11"/>
        <v>#N/A</v>
      </c>
      <c r="AC74" s="372" t="e">
        <f t="shared" si="11"/>
        <v>#N/A</v>
      </c>
      <c r="AD74" s="372" t="e">
        <f t="shared" si="11"/>
        <v>#N/A</v>
      </c>
      <c r="AE74" s="372" t="e">
        <f t="shared" si="11"/>
        <v>#N/A</v>
      </c>
      <c r="AF74" s="372" t="e">
        <f t="shared" si="11"/>
        <v>#N/A</v>
      </c>
      <c r="AH74" s="231"/>
      <c r="AI74" s="231"/>
      <c r="AJ74" s="404">
        <v>505</v>
      </c>
      <c r="AK74" s="231"/>
    </row>
    <row r="75" spans="1:41" s="280" customFormat="1" hidden="1" x14ac:dyDescent="0.25">
      <c r="A75" s="625"/>
      <c r="B75" s="698"/>
      <c r="C75" s="691"/>
      <c r="D75" s="699"/>
      <c r="E75" s="692" t="s">
        <v>59</v>
      </c>
      <c r="F75" s="698" t="e">
        <f>RANK(F74,$W$19:$W$135,0)</f>
        <v>#N/A</v>
      </c>
      <c r="G75" s="698" t="e">
        <f>RANK(G74,$X$19:$X$135,0)</f>
        <v>#N/A</v>
      </c>
      <c r="H75" s="698" t="e">
        <f>RANK(H74,$Y$19:$Y$135,0)</f>
        <v>#N/A</v>
      </c>
      <c r="I75" s="698" t="e">
        <f>RANK(I74,$Z$19:$Z$135,0)</f>
        <v>#N/A</v>
      </c>
      <c r="J75" s="700" t="e">
        <f>RANK(J74,$AA$19:$AA$110,0)</f>
        <v>#N/A</v>
      </c>
      <c r="K75" s="698" t="e">
        <f>RANK(K74,$AB$19:$AB$109,0)</f>
        <v>#N/A</v>
      </c>
      <c r="L75" s="698" t="e">
        <f>RANK(L74,$AC$19:$AC$115,0)</f>
        <v>#N/A</v>
      </c>
      <c r="M75" s="698" t="e">
        <f>RANK(M74,$AD$19:$AD$135,0)</f>
        <v>#N/A</v>
      </c>
      <c r="N75" s="698" t="e">
        <f>RANK(N74,$AE$19:$AE$135,0)</f>
        <v>#N/A</v>
      </c>
      <c r="O75" s="698" t="e">
        <f>RANK(O74,$AF$19:$AF$135,0)</f>
        <v>#N/A</v>
      </c>
      <c r="P75" s="648"/>
      <c r="Q75" s="701"/>
      <c r="R75" s="696"/>
      <c r="S75" s="675">
        <f>B71</f>
        <v>81</v>
      </c>
      <c r="T75" s="287">
        <f>$A71</f>
        <v>0</v>
      </c>
      <c r="U75" s="287">
        <v>5</v>
      </c>
      <c r="V75" s="287">
        <f>$A71</f>
        <v>0</v>
      </c>
      <c r="W75" s="449"/>
      <c r="X75" s="307"/>
      <c r="Y75" s="307"/>
      <c r="Z75" s="307"/>
      <c r="AA75" s="307"/>
      <c r="AB75" s="307"/>
      <c r="AC75" s="307"/>
      <c r="AD75" s="450"/>
      <c r="AE75" s="450"/>
      <c r="AF75" s="450"/>
      <c r="AH75" s="231"/>
      <c r="AI75" s="231"/>
      <c r="AJ75" s="404">
        <v>505</v>
      </c>
      <c r="AK75" s="231"/>
    </row>
    <row r="76" spans="1:41" s="280" customFormat="1" hidden="1" x14ac:dyDescent="0.35">
      <c r="A76" s="686"/>
      <c r="B76" s="523">
        <v>78</v>
      </c>
      <c r="C76" s="690" t="str">
        <f>VLOOKUP(B76,Уч!$A$2:$L$34,2,FALSE)</f>
        <v>Слаква Максим</v>
      </c>
      <c r="D76" s="528" t="str">
        <f>VLOOKUP(B76,Уч!$A$2:$L$34,3,FALSE)</f>
        <v>10.05.1998</v>
      </c>
      <c r="E76" s="509" t="s">
        <v>19</v>
      </c>
      <c r="F76" s="670">
        <f>VLOOKUP($B76,'100 м 1'!$C$18:$I$87,5,FALSE)</f>
        <v>11.6</v>
      </c>
      <c r="G76" s="670">
        <f>VLOOKUP($B76,'длина 2 '!$C$16:$O$54,11,FALSE)</f>
        <v>6.24</v>
      </c>
      <c r="H76" s="670">
        <f>VLOOKUP($B76,'ядро 2'!$C$16:$K$60,8,FALSE)</f>
        <v>12.27</v>
      </c>
      <c r="I76" s="670">
        <f>VLOOKUP($B76,'высота 2'!$C$16:$AF$57,29,FALSE)</f>
        <v>1.79</v>
      </c>
      <c r="J76" s="671">
        <f>VLOOKUP($B76,'4_р'!$C$17:$H$73,5,FALSE)</f>
        <v>50.5</v>
      </c>
      <c r="K76" s="670">
        <f>VLOOKUP($B76,'1cб_р'!$C$17:$I$67,5,FALSE)</f>
        <v>16.29</v>
      </c>
      <c r="L76" s="670">
        <f>VLOOKUP($B76,Дс_р!$C$16:$K$70,8,FALSE)</f>
        <v>23.43</v>
      </c>
      <c r="M76" s="670">
        <f>VLOOKUP($B76,Ш_р!$C$15:$AF$69,29,FALSE)</f>
        <v>3.9</v>
      </c>
      <c r="N76" s="670">
        <f>VLOOKUP($B76,К_р!$C$15:$K$68,8,FALSE)</f>
        <v>30.29</v>
      </c>
      <c r="O76" s="523" t="str">
        <f>VLOOKUP($B76,'15_р'!$C$17:$H$86,5,FALSE)</f>
        <v>4:51.28</v>
      </c>
      <c r="P76" s="695">
        <f>SUM(F78:O78)</f>
        <v>4688</v>
      </c>
      <c r="Q76" s="522">
        <f>LOOKUP(P76,Y$1:AH$1,Y$2:AH$2)</f>
        <v>2</v>
      </c>
      <c r="R76" s="694" t="e">
        <f>AH76+AI76+5</f>
        <v>#N/A</v>
      </c>
      <c r="S76" s="523">
        <f>B76</f>
        <v>78</v>
      </c>
      <c r="T76" s="287">
        <f>$A76</f>
        <v>0</v>
      </c>
      <c r="U76" s="287">
        <v>1</v>
      </c>
      <c r="V76" s="287" t="s">
        <v>162</v>
      </c>
      <c r="W76" s="492"/>
      <c r="X76" s="492"/>
      <c r="Y76" s="492"/>
      <c r="Z76" s="492"/>
      <c r="AA76" s="492"/>
      <c r="AB76" s="492"/>
      <c r="AC76" s="492"/>
      <c r="AD76" s="492"/>
      <c r="AE76" s="492"/>
      <c r="AF76" s="492"/>
      <c r="AG76" s="287"/>
      <c r="AH76" s="280" t="e">
        <f>IF(AND(T76&gt;16,P76&gt;=6200),"1",LOOKUP(T76,Y$5:AO$5,Y$6:AO$6))</f>
        <v>#N/A</v>
      </c>
      <c r="AI76" s="280">
        <f>LOOKUP(Q76,Y$8:AD$8,Y$9:AD$9)</f>
        <v>0</v>
      </c>
      <c r="AJ76" s="404">
        <v>319</v>
      </c>
      <c r="AK76" s="231"/>
      <c r="AL76" s="287"/>
      <c r="AM76" s="287"/>
      <c r="AN76" s="287"/>
      <c r="AO76" s="287"/>
    </row>
    <row r="77" spans="1:41" s="280" customFormat="1" hidden="1" x14ac:dyDescent="0.35">
      <c r="A77" s="686"/>
      <c r="B77" s="523"/>
      <c r="C77" s="688" t="str">
        <f>VLOOKUP(B76,Уч!$A$2:$L$34,5,FALSE)</f>
        <v xml:space="preserve">Ставропольский край  </v>
      </c>
      <c r="D77" s="528" t="str">
        <f>VLOOKUP(B76,Уч!$A$2:$L$34,4,FALSE)</f>
        <v>КМС</v>
      </c>
      <c r="E77" s="509" t="s">
        <v>25</v>
      </c>
      <c r="F77" s="672">
        <f>VLOOKUP($B76,'100 м 1'!$C$18:$I$87,6,FALSE)</f>
        <v>0.8</v>
      </c>
      <c r="G77" s="672">
        <f>VLOOKUP($B76,'длина 2 '!$C$16:$O$54,12,FALSE)</f>
        <v>0.3</v>
      </c>
      <c r="H77" s="523"/>
      <c r="I77" s="672"/>
      <c r="J77" s="673"/>
      <c r="K77" s="672">
        <f>VLOOKUP($B76,'1cб_р'!$C$17:$I$67,6,FALSE)</f>
        <v>-1</v>
      </c>
      <c r="L77" s="672"/>
      <c r="M77" s="672"/>
      <c r="N77" s="523"/>
      <c r="O77" s="523"/>
      <c r="P77" s="697"/>
      <c r="Q77" s="677"/>
      <c r="R77" s="694" t="e">
        <f>CONCATENATE(AH76,"+",AI76,"+",5)</f>
        <v>#N/A</v>
      </c>
      <c r="S77" s="523">
        <f>B76</f>
        <v>78</v>
      </c>
      <c r="T77" s="287">
        <f>$A76</f>
        <v>0</v>
      </c>
      <c r="U77" s="287">
        <v>2</v>
      </c>
      <c r="V77" s="287" t="s">
        <v>162</v>
      </c>
      <c r="W77" s="492"/>
      <c r="X77" s="492"/>
      <c r="Y77" s="492"/>
      <c r="Z77" s="492"/>
      <c r="AA77" s="492"/>
      <c r="AB77" s="492"/>
      <c r="AC77" s="492"/>
      <c r="AD77" s="492"/>
      <c r="AE77" s="492"/>
      <c r="AF77" s="492"/>
      <c r="AG77" s="287"/>
      <c r="AH77" s="231"/>
      <c r="AI77" s="231"/>
      <c r="AJ77" s="404">
        <v>319</v>
      </c>
      <c r="AK77" s="231"/>
      <c r="AL77" s="287"/>
      <c r="AM77" s="287"/>
      <c r="AN77" s="287"/>
      <c r="AO77" s="287"/>
    </row>
    <row r="78" spans="1:41" s="280" customFormat="1" hidden="1" x14ac:dyDescent="0.35">
      <c r="A78" s="686"/>
      <c r="B78" s="523"/>
      <c r="C78" s="689" t="str">
        <f>VLOOKUP(B76,Уч!$A$2:$L$34,7,FALSE)</f>
        <v>ГБУ "СШОР по легкой атлетике"</v>
      </c>
      <c r="D78" s="528"/>
      <c r="E78" s="509" t="s">
        <v>29</v>
      </c>
      <c r="F78" s="523">
        <f>VLOOKUP($B76,'100 м 1'!$C$18:$I$87,7,FALSE)</f>
        <v>732</v>
      </c>
      <c r="G78" s="523">
        <f>VLOOKUP($B76,'длина 2 '!$C$16:$O$54,13,FALSE)</f>
        <v>0</v>
      </c>
      <c r="H78" s="523">
        <f>VLOOKUP($B76,'ядро 2'!$C$16:$K$60,9,FALSE)</f>
        <v>623</v>
      </c>
      <c r="I78" s="523">
        <f>VLOOKUP($B76,'высота 2'!$C$16:$AF$57,30,)</f>
        <v>0</v>
      </c>
      <c r="J78" s="526">
        <f>VLOOKUP($B76,'4_р'!$C$17:$H$73,6,FALSE)</f>
        <v>792</v>
      </c>
      <c r="K78" s="523">
        <f>VLOOKUP($B76,'1cб_р'!$C$17:$I$67,7,FALSE)</f>
        <v>700</v>
      </c>
      <c r="L78" s="523">
        <f>VLOOKUP($B76,Дс_р!$C$16:$K$70,9,FALSE)</f>
        <v>337</v>
      </c>
      <c r="M78" s="523">
        <f>VLOOKUP($B76,Ш_р!$C$15:$AF$69,30,FALSE)</f>
        <v>590</v>
      </c>
      <c r="N78" s="523">
        <f>VLOOKUP($B76,К_р!$C$15:$K$68,9,FALSE)</f>
        <v>303</v>
      </c>
      <c r="O78" s="523">
        <f>VLOOKUP($B76,'15_р'!$C$17:$H$86,6,FALSE)</f>
        <v>611</v>
      </c>
      <c r="P78" s="697"/>
      <c r="Q78" s="678"/>
      <c r="R78" s="695"/>
      <c r="S78" s="523">
        <f>B76</f>
        <v>78</v>
      </c>
      <c r="T78" s="287">
        <f>$A76</f>
        <v>0</v>
      </c>
      <c r="U78" s="287">
        <v>3</v>
      </c>
      <c r="V78" s="287" t="s">
        <v>162</v>
      </c>
      <c r="W78" s="492"/>
      <c r="X78" s="492"/>
      <c r="Y78" s="492"/>
      <c r="Z78" s="492"/>
      <c r="AA78" s="492"/>
      <c r="AB78" s="492"/>
      <c r="AC78" s="492"/>
      <c r="AD78" s="492"/>
      <c r="AE78" s="492"/>
      <c r="AF78" s="492"/>
      <c r="AG78" s="287"/>
      <c r="AH78" s="231"/>
      <c r="AI78" s="231"/>
      <c r="AJ78" s="404">
        <v>319</v>
      </c>
      <c r="AK78" s="231"/>
      <c r="AL78" s="287"/>
      <c r="AM78" s="287"/>
      <c r="AN78" s="287"/>
      <c r="AO78" s="287"/>
    </row>
    <row r="79" spans="1:41" s="280" customFormat="1" hidden="1" x14ac:dyDescent="0.35">
      <c r="A79" s="686"/>
      <c r="B79" s="523"/>
      <c r="C79" s="688" t="str">
        <f>VLOOKUP(B76,Уч!$A$2:$L$34,11,FALSE)</f>
        <v>Мирошниченко В.И., Журавлева Т.В.</v>
      </c>
      <c r="D79" s="528"/>
      <c r="E79" s="509" t="s">
        <v>276</v>
      </c>
      <c r="F79" s="523">
        <f>F78</f>
        <v>732</v>
      </c>
      <c r="G79" s="523">
        <f>F79+G78</f>
        <v>732</v>
      </c>
      <c r="H79" s="523">
        <f>G79+H78</f>
        <v>1355</v>
      </c>
      <c r="I79" s="523">
        <f>H79+I78</f>
        <v>1355</v>
      </c>
      <c r="J79" s="526">
        <f>SUM($F78:J78)</f>
        <v>2147</v>
      </c>
      <c r="K79" s="523">
        <f>SUM($F78:$K78)</f>
        <v>2847</v>
      </c>
      <c r="L79" s="523">
        <f>K79+L78</f>
        <v>3184</v>
      </c>
      <c r="M79" s="523">
        <f>L79+M78</f>
        <v>3774</v>
      </c>
      <c r="N79" s="523">
        <f>SUM($F78:$N78)</f>
        <v>4077</v>
      </c>
      <c r="O79" s="523">
        <f>SUM($F78:$O78)</f>
        <v>4688</v>
      </c>
      <c r="P79" s="697"/>
      <c r="Q79" s="677"/>
      <c r="R79" s="695"/>
      <c r="S79" s="523">
        <f>B76</f>
        <v>78</v>
      </c>
      <c r="T79" s="287">
        <f>$A76</f>
        <v>0</v>
      </c>
      <c r="U79" s="287">
        <v>4</v>
      </c>
      <c r="V79" s="287" t="s">
        <v>162</v>
      </c>
      <c r="W79" s="372">
        <f t="shared" ref="W79:AF79" si="12">F79</f>
        <v>732</v>
      </c>
      <c r="X79" s="372">
        <f t="shared" si="12"/>
        <v>732</v>
      </c>
      <c r="Y79" s="372">
        <f t="shared" si="12"/>
        <v>1355</v>
      </c>
      <c r="Z79" s="372">
        <f t="shared" si="12"/>
        <v>1355</v>
      </c>
      <c r="AA79" s="372">
        <f t="shared" si="12"/>
        <v>2147</v>
      </c>
      <c r="AB79" s="372">
        <f t="shared" si="12"/>
        <v>2847</v>
      </c>
      <c r="AC79" s="372">
        <f t="shared" si="12"/>
        <v>3184</v>
      </c>
      <c r="AD79" s="372">
        <f t="shared" si="12"/>
        <v>3774</v>
      </c>
      <c r="AE79" s="372">
        <f t="shared" si="12"/>
        <v>4077</v>
      </c>
      <c r="AF79" s="372">
        <f t="shared" si="12"/>
        <v>4688</v>
      </c>
      <c r="AG79" s="287"/>
      <c r="AH79" s="231"/>
      <c r="AI79" s="231"/>
      <c r="AJ79" s="404">
        <v>319</v>
      </c>
      <c r="AK79" s="231"/>
      <c r="AL79" s="287"/>
      <c r="AM79" s="287"/>
      <c r="AN79" s="287"/>
      <c r="AO79" s="287"/>
    </row>
    <row r="80" spans="1:41" s="280" customFormat="1" hidden="1" x14ac:dyDescent="0.25">
      <c r="A80" s="625"/>
      <c r="B80" s="698"/>
      <c r="C80" s="691"/>
      <c r="D80" s="699"/>
      <c r="E80" s="692" t="s">
        <v>59</v>
      </c>
      <c r="F80" s="698" t="e">
        <f>RANK(F79,$W$19:$W$135,0)</f>
        <v>#N/A</v>
      </c>
      <c r="G80" s="698" t="e">
        <f>RANK(G79,$X$19:$X$135,0)</f>
        <v>#N/A</v>
      </c>
      <c r="H80" s="698" t="e">
        <f>RANK(H79,$Y$19:$Y$135,0)</f>
        <v>#N/A</v>
      </c>
      <c r="I80" s="698" t="e">
        <f>RANK(I79,$Z$19:$Z$135,0)</f>
        <v>#N/A</v>
      </c>
      <c r="J80" s="700" t="e">
        <f>RANK(J79,$AA$19:$AA$110,0)</f>
        <v>#N/A</v>
      </c>
      <c r="K80" s="698" t="e">
        <f>RANK(K79,$AB$19:$AB$109,0)</f>
        <v>#N/A</v>
      </c>
      <c r="L80" s="698" t="e">
        <f>RANK(L79,$AC$19:$AC$115,0)</f>
        <v>#N/A</v>
      </c>
      <c r="M80" s="698" t="e">
        <f>RANK(M79,$AD$19:$AD$135,0)</f>
        <v>#N/A</v>
      </c>
      <c r="N80" s="698" t="e">
        <f>RANK(N79,$AE$19:$AE$135,0)</f>
        <v>#N/A</v>
      </c>
      <c r="O80" s="698" t="e">
        <f>RANK(O79,$AF$19:$AF$135,0)</f>
        <v>#N/A</v>
      </c>
      <c r="P80" s="705"/>
      <c r="Q80" s="706"/>
      <c r="R80" s="696"/>
      <c r="S80" s="675">
        <f>B76</f>
        <v>78</v>
      </c>
      <c r="T80" s="287">
        <f>$A76</f>
        <v>0</v>
      </c>
      <c r="U80" s="287">
        <v>5</v>
      </c>
      <c r="V80" s="287" t="s">
        <v>162</v>
      </c>
      <c r="W80" s="492"/>
      <c r="X80" s="492"/>
      <c r="Y80" s="492"/>
      <c r="Z80" s="492"/>
      <c r="AA80" s="492"/>
      <c r="AB80" s="492"/>
      <c r="AC80" s="492"/>
      <c r="AD80" s="492"/>
      <c r="AE80" s="492"/>
      <c r="AF80" s="492"/>
      <c r="AG80" s="287"/>
      <c r="AH80" s="231"/>
      <c r="AI80" s="231"/>
      <c r="AJ80" s="404">
        <v>319</v>
      </c>
      <c r="AK80" s="231"/>
      <c r="AL80" s="287"/>
      <c r="AM80" s="287"/>
      <c r="AN80" s="287"/>
      <c r="AO80" s="287"/>
    </row>
    <row r="81" spans="1:51" s="280" customFormat="1" hidden="1" x14ac:dyDescent="0.35">
      <c r="A81" s="686"/>
      <c r="B81" s="523">
        <v>40</v>
      </c>
      <c r="C81" s="690" t="str">
        <f>VLOOKUP(B81,Уч!$A$2:$L$34,2,FALSE)</f>
        <v>Черкасов Алексей</v>
      </c>
      <c r="D81" s="528" t="str">
        <f>VLOOKUP(B81,Уч!$A$2:$L$34,3,FALSE)</f>
        <v>22.10.1994</v>
      </c>
      <c r="E81" s="509" t="s">
        <v>19</v>
      </c>
      <c r="F81" s="670">
        <f>VLOOKUP($B81,'100 м 1'!$C$18:$I$87,5,FALSE)</f>
        <v>11.53</v>
      </c>
      <c r="G81" s="670">
        <f>VLOOKUP($B81,'длина 2 '!$C$16:$O$54,11,FALSE)</f>
        <v>6.24</v>
      </c>
      <c r="H81" s="670">
        <f>VLOOKUP($B81,'ядро 2'!$C$16:$K$60,8,FALSE)</f>
        <v>12.93</v>
      </c>
      <c r="I81" s="670">
        <f>VLOOKUP($B81,'высота 2'!$C$16:$AF$57,29,FALSE)</f>
        <v>1.91</v>
      </c>
      <c r="J81" s="671">
        <f>VLOOKUP($B81,'4_р'!$C$17:$H$73,5,FALSE)</f>
        <v>52.72</v>
      </c>
      <c r="K81" s="670">
        <f>VLOOKUP($B81,'1cб_р'!$C$17:$I$67,5,FALSE)</f>
        <v>15.18</v>
      </c>
      <c r="L81" s="670">
        <f>VLOOKUP($B81,Дс_р!$C$16:$K$70,8,FALSE)</f>
        <v>32.729999999999997</v>
      </c>
      <c r="M81" s="670" t="s">
        <v>349</v>
      </c>
      <c r="N81" s="670">
        <f>VLOOKUP($B81,К_р!$C$15:$K$68,8,FALSE)</f>
        <v>53.68</v>
      </c>
      <c r="O81" s="523" t="str">
        <f>VLOOKUP($B81,'15_р'!$C$17:$H$86,5,FALSE)</f>
        <v>4:56.96</v>
      </c>
      <c r="P81" s="695">
        <f>SUM(F83:O83)</f>
        <v>4669</v>
      </c>
      <c r="Q81" s="522">
        <f>LOOKUP(P81,Y$1:AH$1,Y$2:AH$2)</f>
        <v>2</v>
      </c>
      <c r="R81" s="694" t="e">
        <f>AH81+AI81+5</f>
        <v>#N/A</v>
      </c>
      <c r="S81" s="523">
        <f>B81</f>
        <v>40</v>
      </c>
      <c r="T81" s="287">
        <f>$A81</f>
        <v>0</v>
      </c>
      <c r="U81" s="287">
        <v>1</v>
      </c>
      <c r="V81" s="287">
        <f>$A81</f>
        <v>0</v>
      </c>
      <c r="W81" s="449"/>
      <c r="X81" s="307"/>
      <c r="Y81" s="307"/>
      <c r="Z81" s="307"/>
      <c r="AA81" s="307"/>
      <c r="AB81" s="307"/>
      <c r="AC81" s="307"/>
      <c r="AD81" s="450"/>
      <c r="AE81" s="450"/>
      <c r="AF81" s="450"/>
      <c r="AH81" s="280" t="e">
        <f>IF(AND(T81&gt;16,P81&gt;=6200),"1",LOOKUP(T81,Y$5:AO$5,Y$6:AO$6))</f>
        <v>#N/A</v>
      </c>
      <c r="AI81" s="280">
        <f>LOOKUP(Q81,Y$8:AD$8,Y$9:AD$9)</f>
        <v>0</v>
      </c>
      <c r="AJ81" s="404">
        <v>96</v>
      </c>
    </row>
    <row r="82" spans="1:51" s="280" customFormat="1" hidden="1" x14ac:dyDescent="0.35">
      <c r="A82" s="686"/>
      <c r="B82" s="523"/>
      <c r="C82" s="688" t="str">
        <f>VLOOKUP(B81,Уч!$A$2:$L$34,5,FALSE)</f>
        <v xml:space="preserve">Кемеровская область Санкт-Петербург </v>
      </c>
      <c r="D82" s="528" t="str">
        <f>VLOOKUP(B81,Уч!$A$2:$L$34,4,FALSE)</f>
        <v>МС</v>
      </c>
      <c r="E82" s="509" t="s">
        <v>25</v>
      </c>
      <c r="F82" s="672">
        <f>VLOOKUP($B81,'100 м 1'!$C$18:$I$87,6,FALSE)</f>
        <v>0.8</v>
      </c>
      <c r="G82" s="672">
        <f>VLOOKUP($B81,'длина 2 '!$C$16:$O$54,12,FALSE)</f>
        <v>0.3</v>
      </c>
      <c r="H82" s="523"/>
      <c r="I82" s="672"/>
      <c r="J82" s="673"/>
      <c r="K82" s="672">
        <f>VLOOKUP($B81,'1cб_р'!$C$17:$I$67,6,FALSE)</f>
        <v>-1</v>
      </c>
      <c r="L82" s="672"/>
      <c r="M82" s="672"/>
      <c r="N82" s="523"/>
      <c r="O82" s="523"/>
      <c r="P82" s="695"/>
      <c r="Q82" s="674"/>
      <c r="R82" s="694" t="e">
        <f>CONCATENATE(AH81,"+",AI81,"+",5)</f>
        <v>#N/A</v>
      </c>
      <c r="S82" s="523">
        <f>B81</f>
        <v>40</v>
      </c>
      <c r="T82" s="287">
        <f>$A81</f>
        <v>0</v>
      </c>
      <c r="U82" s="287">
        <v>2</v>
      </c>
      <c r="V82" s="287">
        <f>$A81</f>
        <v>0</v>
      </c>
      <c r="W82" s="449"/>
      <c r="X82" s="307"/>
      <c r="Y82" s="307"/>
      <c r="Z82" s="307"/>
      <c r="AA82" s="307"/>
      <c r="AB82" s="307"/>
      <c r="AC82" s="307"/>
      <c r="AD82" s="450"/>
      <c r="AE82" s="450"/>
      <c r="AF82" s="450"/>
      <c r="AH82" s="231"/>
      <c r="AI82" s="231"/>
      <c r="AJ82" s="404">
        <v>96</v>
      </c>
      <c r="AK82" s="231"/>
    </row>
    <row r="83" spans="1:51" s="280" customFormat="1" hidden="1" x14ac:dyDescent="0.35">
      <c r="A83" s="686"/>
      <c r="B83" s="523"/>
      <c r="C83" s="689" t="str">
        <f>VLOOKUP(B81,Уч!$A$2:$L$34,7,FALSE)</f>
        <v>МА ФСУ «СШОР по легкой атлетике», ГАУ КО "ЦП ССК", СПб ГБУ ЦОП "ШВСМ по легкой атлетике"</v>
      </c>
      <c r="D83" s="528"/>
      <c r="E83" s="509" t="s">
        <v>29</v>
      </c>
      <c r="F83" s="523">
        <f>VLOOKUP($B81,'100 м 1'!$C$18:$I$87,7,FALSE)</f>
        <v>746</v>
      </c>
      <c r="G83" s="523">
        <f>VLOOKUP($B81,'длина 2 '!$C$16:$O$54,13,FALSE)</f>
        <v>0</v>
      </c>
      <c r="H83" s="523">
        <f>VLOOKUP($B81,'ядро 2'!$C$16:$K$60,9,FALSE)</f>
        <v>663</v>
      </c>
      <c r="I83" s="523">
        <f>VLOOKUP($B81,'высота 2'!$C$16:$AF$57,30,)</f>
        <v>0</v>
      </c>
      <c r="J83" s="526">
        <f>VLOOKUP($B81,'4_р'!$C$17:$H$73,6,FALSE)</f>
        <v>694</v>
      </c>
      <c r="K83" s="523">
        <f>VLOOKUP($B81,'1cб_р'!$C$17:$I$67,7,FALSE)</f>
        <v>828</v>
      </c>
      <c r="L83" s="523">
        <f>VLOOKUP($B81,Дс_р!$C$16:$K$70,9,FALSE)</f>
        <v>518</v>
      </c>
      <c r="M83" s="523">
        <f>VLOOKUP($B81,Ш_р!$C$15:$AF$69,30,FALSE)</f>
        <v>0</v>
      </c>
      <c r="N83" s="523">
        <f>VLOOKUP($B81,К_р!$C$15:$K$68,9,FALSE)</f>
        <v>643</v>
      </c>
      <c r="O83" s="523">
        <f>VLOOKUP($B81,'15_р'!$C$17:$H$86,6,FALSE)</f>
        <v>577</v>
      </c>
      <c r="P83" s="695"/>
      <c r="Q83" s="674"/>
      <c r="R83" s="695"/>
      <c r="S83" s="523">
        <f>B81</f>
        <v>40</v>
      </c>
      <c r="T83" s="287">
        <f>$A81</f>
        <v>0</v>
      </c>
      <c r="U83" s="287">
        <v>3</v>
      </c>
      <c r="V83" s="287">
        <f>$A81</f>
        <v>0</v>
      </c>
      <c r="W83" s="449"/>
      <c r="X83" s="307"/>
      <c r="Y83" s="307"/>
      <c r="Z83" s="307"/>
      <c r="AA83" s="307"/>
      <c r="AB83" s="307"/>
      <c r="AC83" s="307"/>
      <c r="AD83" s="450"/>
      <c r="AE83" s="450"/>
      <c r="AF83" s="450"/>
      <c r="AH83" s="231"/>
      <c r="AI83" s="231"/>
      <c r="AJ83" s="404">
        <v>96</v>
      </c>
      <c r="AK83" s="231"/>
    </row>
    <row r="84" spans="1:51" s="280" customFormat="1" hidden="1" x14ac:dyDescent="0.35">
      <c r="A84" s="686"/>
      <c r="B84" s="523"/>
      <c r="C84" s="688" t="str">
        <f>VLOOKUP(B81,Уч!$A$2:$L$34,11,FALSE)</f>
        <v>Залевская И.И., Овчинников Ю.В., Полосухин К.А.</v>
      </c>
      <c r="D84" s="528"/>
      <c r="E84" s="509" t="s">
        <v>276</v>
      </c>
      <c r="F84" s="523">
        <f>F83</f>
        <v>746</v>
      </c>
      <c r="G84" s="523">
        <f>F84+G83</f>
        <v>746</v>
      </c>
      <c r="H84" s="523">
        <f>G84+H83</f>
        <v>1409</v>
      </c>
      <c r="I84" s="523">
        <f>H84+I83</f>
        <v>1409</v>
      </c>
      <c r="J84" s="526">
        <f>SUM($F83:J83)</f>
        <v>2103</v>
      </c>
      <c r="K84" s="523">
        <f>SUM($F83:$K83)</f>
        <v>2931</v>
      </c>
      <c r="L84" s="523">
        <f>K84+L83</f>
        <v>3449</v>
      </c>
      <c r="M84" s="523">
        <f>L84+M83</f>
        <v>3449</v>
      </c>
      <c r="N84" s="523">
        <f>SUM($F83:$N83)</f>
        <v>4092</v>
      </c>
      <c r="O84" s="523">
        <f>SUM($F83:$O83)</f>
        <v>4669</v>
      </c>
      <c r="P84" s="695"/>
      <c r="Q84" s="674"/>
      <c r="R84" s="695"/>
      <c r="S84" s="523">
        <f>B81</f>
        <v>40</v>
      </c>
      <c r="T84" s="287">
        <f>$A81</f>
        <v>0</v>
      </c>
      <c r="U84" s="287">
        <v>4</v>
      </c>
      <c r="V84" s="287">
        <f>$A81</f>
        <v>0</v>
      </c>
      <c r="W84" s="372">
        <f t="shared" ref="W84:AF84" si="13">F84</f>
        <v>746</v>
      </c>
      <c r="X84" s="372">
        <f t="shared" si="13"/>
        <v>746</v>
      </c>
      <c r="Y84" s="372">
        <f t="shared" si="13"/>
        <v>1409</v>
      </c>
      <c r="Z84" s="372">
        <f t="shared" si="13"/>
        <v>1409</v>
      </c>
      <c r="AA84" s="372">
        <f t="shared" si="13"/>
        <v>2103</v>
      </c>
      <c r="AB84" s="372">
        <f t="shared" si="13"/>
        <v>2931</v>
      </c>
      <c r="AC84" s="372">
        <f t="shared" si="13"/>
        <v>3449</v>
      </c>
      <c r="AD84" s="372">
        <f t="shared" si="13"/>
        <v>3449</v>
      </c>
      <c r="AE84" s="372">
        <f t="shared" si="13"/>
        <v>4092</v>
      </c>
      <c r="AF84" s="372">
        <f t="shared" si="13"/>
        <v>4669</v>
      </c>
      <c r="AH84" s="231"/>
      <c r="AI84" s="231"/>
      <c r="AJ84" s="404">
        <v>96</v>
      </c>
      <c r="AK84" s="231"/>
    </row>
    <row r="85" spans="1:51" s="280" customFormat="1" hidden="1" x14ac:dyDescent="0.25">
      <c r="A85" s="625"/>
      <c r="B85" s="698"/>
      <c r="C85" s="691"/>
      <c r="D85" s="699"/>
      <c r="E85" s="692" t="s">
        <v>59</v>
      </c>
      <c r="F85" s="698" t="e">
        <f>RANK(F84,$W$19:$W$135,0)</f>
        <v>#N/A</v>
      </c>
      <c r="G85" s="698" t="e">
        <f>RANK(G84,$X$19:$X$135,0)</f>
        <v>#N/A</v>
      </c>
      <c r="H85" s="698" t="e">
        <f>RANK(H84,$Y$19:$Y$135,0)</f>
        <v>#N/A</v>
      </c>
      <c r="I85" s="698" t="e">
        <f>RANK(I84,$Z$19:$Z$135,0)</f>
        <v>#N/A</v>
      </c>
      <c r="J85" s="700" t="e">
        <f>RANK(J84,$AA$19:$AA$110,0)</f>
        <v>#N/A</v>
      </c>
      <c r="K85" s="698" t="e">
        <f>RANK(K84,$AB$19:$AB$109,0)</f>
        <v>#N/A</v>
      </c>
      <c r="L85" s="698" t="e">
        <f>RANK(L84,$AC$19:$AC$115,0)</f>
        <v>#N/A</v>
      </c>
      <c r="M85" s="698" t="e">
        <f>RANK(M84,$AD$19:$AD$135,0)</f>
        <v>#N/A</v>
      </c>
      <c r="N85" s="698" t="e">
        <f>RANK(N84,$AE$19:$AE$135,0)</f>
        <v>#N/A</v>
      </c>
      <c r="O85" s="698" t="e">
        <f>RANK(O84,$AF$19:$AF$40,0)</f>
        <v>#N/A</v>
      </c>
      <c r="P85" s="648"/>
      <c r="Q85" s="701"/>
      <c r="R85" s="696"/>
      <c r="S85" s="675">
        <f>B81</f>
        <v>40</v>
      </c>
      <c r="T85" s="287">
        <f>$A81</f>
        <v>0</v>
      </c>
      <c r="U85" s="287">
        <v>5</v>
      </c>
      <c r="V85" s="287">
        <f>$A81</f>
        <v>0</v>
      </c>
      <c r="W85" s="449"/>
      <c r="X85" s="307"/>
      <c r="Y85" s="307"/>
      <c r="Z85" s="307"/>
      <c r="AA85" s="307"/>
      <c r="AB85" s="307"/>
      <c r="AC85" s="307"/>
      <c r="AD85" s="450"/>
      <c r="AE85" s="450"/>
      <c r="AF85" s="450"/>
      <c r="AH85" s="231"/>
      <c r="AI85" s="231"/>
      <c r="AJ85" s="404">
        <v>96</v>
      </c>
      <c r="AK85" s="231"/>
    </row>
    <row r="86" spans="1:51" s="287" customFormat="1" hidden="1" x14ac:dyDescent="0.35">
      <c r="A86" s="686"/>
      <c r="B86" s="523">
        <v>69</v>
      </c>
      <c r="C86" s="690" t="e">
        <f>VLOOKUP(B86,Уч!$A$2:$L$34,2,FALSE)</f>
        <v>#N/A</v>
      </c>
      <c r="D86" s="528" t="e">
        <f>VLOOKUP(B86,Уч!$A$2:$L$34,3,FALSE)</f>
        <v>#N/A</v>
      </c>
      <c r="E86" s="509" t="s">
        <v>19</v>
      </c>
      <c r="F86" s="670" t="e">
        <f>VLOOKUP($B86,'100 м 1'!$C$18:$I$87,5,FALSE)</f>
        <v>#N/A</v>
      </c>
      <c r="G86" s="670" t="e">
        <f>VLOOKUP($B86,'длина 2 '!$C$16:$O$54,11,FALSE)</f>
        <v>#N/A</v>
      </c>
      <c r="H86" s="670" t="e">
        <f>VLOOKUP($B86,'ядро 2'!$C$16:$K$60,8,FALSE)</f>
        <v>#N/A</v>
      </c>
      <c r="I86" s="670">
        <f>VLOOKUP($B86,'высота 2'!$C$16:$AF$57,29,FALSE)</f>
        <v>1.85</v>
      </c>
      <c r="J86" s="671">
        <f>VLOOKUP($B86,'4_р'!$C$17:$H$73,5,FALSE)</f>
        <v>52.67</v>
      </c>
      <c r="K86" s="670">
        <f>VLOOKUP($B86,'1cб_р'!$C$17:$I$67,5,FALSE)</f>
        <v>17.38</v>
      </c>
      <c r="L86" s="670">
        <f>VLOOKUP($B86,Дс_р!$C$16:$K$70,8,FALSE)</f>
        <v>30.38</v>
      </c>
      <c r="M86" s="670">
        <f>VLOOKUP($B86,Ш_р!$C$15:$AF$69,29,FALSE)</f>
        <v>4</v>
      </c>
      <c r="N86" s="670">
        <f>VLOOKUP($B86,К_р!$C$15:$K$68,8,FALSE)</f>
        <v>42.56</v>
      </c>
      <c r="O86" s="523" t="str">
        <f>VLOOKUP($B86,'15_р'!$C$17:$H$86,5,FALSE)</f>
        <v>4:13.03</v>
      </c>
      <c r="P86" s="695" t="e">
        <f>SUM(F88:O88)</f>
        <v>#N/A</v>
      </c>
      <c r="Q86" s="522" t="e">
        <f>LOOKUP(P86,Y$1:AH$1,Y$2:AH$2)</f>
        <v>#N/A</v>
      </c>
      <c r="R86" s="694" t="e">
        <f>AH86+AI86+5</f>
        <v>#N/A</v>
      </c>
      <c r="S86" s="523">
        <f>B86</f>
        <v>69</v>
      </c>
      <c r="T86" s="287">
        <f>$A86</f>
        <v>0</v>
      </c>
      <c r="U86" s="287">
        <v>1</v>
      </c>
      <c r="V86" s="287">
        <f>$A86</f>
        <v>0</v>
      </c>
      <c r="W86" s="449"/>
      <c r="X86" s="307"/>
      <c r="Y86" s="307"/>
      <c r="Z86" s="307"/>
      <c r="AA86" s="307"/>
      <c r="AB86" s="307"/>
      <c r="AC86" s="307"/>
      <c r="AD86" s="450"/>
      <c r="AE86" s="450"/>
      <c r="AF86" s="450"/>
      <c r="AG86" s="280"/>
      <c r="AH86" s="280" t="e">
        <f>IF(AND(T86&gt;16,P86&gt;=6200),"1",LOOKUP(T86,Y$5:AO$5,Y$6:AO$6))</f>
        <v>#N/A</v>
      </c>
      <c r="AI86" s="280" t="e">
        <f>LOOKUP(Q86,Y$8:AD$8,Y$9:AD$9)</f>
        <v>#N/A</v>
      </c>
      <c r="AJ86" s="404">
        <v>449</v>
      </c>
      <c r="AK86" s="231"/>
      <c r="AL86" s="280"/>
      <c r="AM86" s="280"/>
      <c r="AN86" s="280"/>
      <c r="AO86" s="280"/>
      <c r="AP86" s="280"/>
      <c r="AQ86" s="280"/>
      <c r="AR86" s="280"/>
      <c r="AS86" s="280"/>
      <c r="AT86" s="280"/>
      <c r="AU86" s="280"/>
      <c r="AV86" s="280"/>
      <c r="AW86" s="280"/>
      <c r="AX86" s="280"/>
      <c r="AY86" s="280"/>
    </row>
    <row r="87" spans="1:51" s="287" customFormat="1" hidden="1" x14ac:dyDescent="0.35">
      <c r="A87" s="686"/>
      <c r="B87" s="523"/>
      <c r="C87" s="688" t="e">
        <f>VLOOKUP(B86,Уч!$A$2:$L$34,5,FALSE)</f>
        <v>#N/A</v>
      </c>
      <c r="D87" s="525" t="e">
        <f>VLOOKUP(B86,Уч!$A$2:$L$34,4,FALSE)</f>
        <v>#N/A</v>
      </c>
      <c r="E87" s="509" t="s">
        <v>25</v>
      </c>
      <c r="F87" s="672" t="e">
        <f>VLOOKUP($B86,'100 м 1'!$C$18:$I$87,6,FALSE)</f>
        <v>#N/A</v>
      </c>
      <c r="G87" s="672" t="e">
        <f>VLOOKUP($B86,'длина 2 '!$C$16:$O$54,12,FALSE)</f>
        <v>#N/A</v>
      </c>
      <c r="H87" s="523"/>
      <c r="I87" s="672"/>
      <c r="J87" s="673"/>
      <c r="K87" s="672">
        <f>VLOOKUP($B86,'1cб_р'!$C$17:$I$67,6,FALSE)</f>
        <v>0</v>
      </c>
      <c r="L87" s="672"/>
      <c r="M87" s="672"/>
      <c r="N87" s="523"/>
      <c r="O87" s="523"/>
      <c r="P87" s="695"/>
      <c r="Q87" s="674"/>
      <c r="R87" s="694" t="e">
        <f>CONCATENATE(AH86,"+",AI86,"+",5)</f>
        <v>#N/A</v>
      </c>
      <c r="S87" s="523">
        <f>B86</f>
        <v>69</v>
      </c>
      <c r="T87" s="287">
        <f>$A86</f>
        <v>0</v>
      </c>
      <c r="U87" s="287">
        <v>2</v>
      </c>
      <c r="V87" s="287">
        <f>$A86</f>
        <v>0</v>
      </c>
      <c r="W87" s="449"/>
      <c r="X87" s="307"/>
      <c r="Y87" s="307"/>
      <c r="Z87" s="307"/>
      <c r="AA87" s="307"/>
      <c r="AB87" s="307"/>
      <c r="AC87" s="307"/>
      <c r="AD87" s="450"/>
      <c r="AE87" s="450"/>
      <c r="AF87" s="450"/>
      <c r="AG87" s="280"/>
      <c r="AH87" s="231"/>
      <c r="AI87" s="231"/>
      <c r="AJ87" s="404">
        <v>449</v>
      </c>
      <c r="AK87" s="231"/>
      <c r="AL87" s="280"/>
      <c r="AM87" s="280"/>
      <c r="AN87" s="280"/>
      <c r="AO87" s="280"/>
      <c r="AP87" s="280"/>
      <c r="AQ87" s="280"/>
      <c r="AR87" s="280"/>
      <c r="AS87" s="280"/>
      <c r="AT87" s="280"/>
      <c r="AU87" s="280"/>
      <c r="AV87" s="280"/>
      <c r="AW87" s="280"/>
      <c r="AX87" s="280"/>
      <c r="AY87" s="280"/>
    </row>
    <row r="88" spans="1:51" s="287" customFormat="1" hidden="1" x14ac:dyDescent="0.35">
      <c r="A88" s="686"/>
      <c r="B88" s="523"/>
      <c r="C88" s="689" t="e">
        <f>VLOOKUP(B86,Уч!$A$2:$L$34,7,FALSE)</f>
        <v>#N/A</v>
      </c>
      <c r="D88" s="525"/>
      <c r="E88" s="509" t="s">
        <v>29</v>
      </c>
      <c r="F88" s="523" t="e">
        <f>VLOOKUP($B86,'100 м 1'!$C$18:$I$87,7,FALSE)</f>
        <v>#N/A</v>
      </c>
      <c r="G88" s="523" t="e">
        <f>VLOOKUP($B86,'длина 2 '!$C$16:$O$54,13,FALSE)</f>
        <v>#N/A</v>
      </c>
      <c r="H88" s="523" t="e">
        <f>VLOOKUP($B86,'ядро 2'!$C$16:$K$60,9,FALSE)</f>
        <v>#N/A</v>
      </c>
      <c r="I88" s="523">
        <f>VLOOKUP($B86,'высота 2'!$C$16:$AF$57,30,)</f>
        <v>0</v>
      </c>
      <c r="J88" s="526">
        <f>VLOOKUP($B86,'4_р'!$C$17:$H$73,6,FALSE)</f>
        <v>696</v>
      </c>
      <c r="K88" s="523">
        <f>VLOOKUP($B86,'1cб_р'!$C$17:$I$67,7,FALSE)</f>
        <v>585</v>
      </c>
      <c r="L88" s="523">
        <f>VLOOKUP($B86,Дс_р!$C$16:$K$70,9,FALSE)</f>
        <v>472</v>
      </c>
      <c r="M88" s="523">
        <f>VLOOKUP($B86,Ш_р!$C$15:$AF$69,30,FALSE)</f>
        <v>617</v>
      </c>
      <c r="N88" s="523">
        <f>VLOOKUP($B86,К_р!$C$15:$K$68,9,FALSE)</f>
        <v>479</v>
      </c>
      <c r="O88" s="523">
        <f>VLOOKUP($B86,'15_р'!$C$17:$H$86,6,FALSE)</f>
        <v>860</v>
      </c>
      <c r="P88" s="695"/>
      <c r="Q88" s="676"/>
      <c r="R88" s="695"/>
      <c r="S88" s="523">
        <f>B86</f>
        <v>69</v>
      </c>
      <c r="T88" s="287">
        <f>$A86</f>
        <v>0</v>
      </c>
      <c r="U88" s="287">
        <v>3</v>
      </c>
      <c r="V88" s="287">
        <f>$A86</f>
        <v>0</v>
      </c>
      <c r="W88" s="449"/>
      <c r="X88" s="307"/>
      <c r="Y88" s="307"/>
      <c r="Z88" s="307"/>
      <c r="AA88" s="307"/>
      <c r="AB88" s="307"/>
      <c r="AC88" s="307"/>
      <c r="AD88" s="450"/>
      <c r="AE88" s="450"/>
      <c r="AF88" s="450"/>
      <c r="AG88" s="280"/>
      <c r="AH88" s="231"/>
      <c r="AI88" s="231"/>
      <c r="AJ88" s="404">
        <v>449</v>
      </c>
      <c r="AK88" s="231"/>
      <c r="AL88" s="280"/>
      <c r="AM88" s="280"/>
      <c r="AN88" s="280"/>
      <c r="AO88" s="280"/>
      <c r="AP88" s="280"/>
      <c r="AQ88" s="280"/>
      <c r="AR88" s="280"/>
      <c r="AS88" s="280"/>
      <c r="AT88" s="280"/>
      <c r="AU88" s="280"/>
      <c r="AV88" s="280"/>
      <c r="AW88" s="280"/>
      <c r="AX88" s="280"/>
      <c r="AY88" s="280"/>
    </row>
    <row r="89" spans="1:51" s="287" customFormat="1" hidden="1" x14ac:dyDescent="0.35">
      <c r="A89" s="686"/>
      <c r="B89" s="523"/>
      <c r="C89" s="688" t="e">
        <f>VLOOKUP(B86,Уч!$A$2:$L$34,11,FALSE)</f>
        <v>#N/A</v>
      </c>
      <c r="D89" s="525"/>
      <c r="E89" s="509" t="s">
        <v>276</v>
      </c>
      <c r="F89" s="523" t="e">
        <f>F88</f>
        <v>#N/A</v>
      </c>
      <c r="G89" s="523" t="e">
        <f>F89+G88</f>
        <v>#N/A</v>
      </c>
      <c r="H89" s="523" t="e">
        <f>G89+H88</f>
        <v>#N/A</v>
      </c>
      <c r="I89" s="523" t="e">
        <f>H89+I88</f>
        <v>#N/A</v>
      </c>
      <c r="J89" s="526" t="e">
        <f>SUM($F88:J88)</f>
        <v>#N/A</v>
      </c>
      <c r="K89" s="523" t="e">
        <f>SUM($F88:$K88)</f>
        <v>#N/A</v>
      </c>
      <c r="L89" s="523" t="e">
        <f>K89+L88</f>
        <v>#N/A</v>
      </c>
      <c r="M89" s="523" t="e">
        <f>L89+M88</f>
        <v>#N/A</v>
      </c>
      <c r="N89" s="523" t="e">
        <f>SUM($F88:$N88)</f>
        <v>#N/A</v>
      </c>
      <c r="O89" s="523" t="e">
        <f>SUM($F88:$O88)</f>
        <v>#N/A</v>
      </c>
      <c r="P89" s="695"/>
      <c r="Q89" s="674"/>
      <c r="R89" s="695"/>
      <c r="S89" s="523">
        <f>B86</f>
        <v>69</v>
      </c>
      <c r="T89" s="287">
        <f>$A86</f>
        <v>0</v>
      </c>
      <c r="U89" s="287">
        <v>4</v>
      </c>
      <c r="V89" s="287">
        <f>$A86</f>
        <v>0</v>
      </c>
      <c r="W89" s="372" t="e">
        <f t="shared" ref="W89:AF89" si="14">F89</f>
        <v>#N/A</v>
      </c>
      <c r="X89" s="372" t="e">
        <f t="shared" si="14"/>
        <v>#N/A</v>
      </c>
      <c r="Y89" s="372" t="e">
        <f t="shared" si="14"/>
        <v>#N/A</v>
      </c>
      <c r="Z89" s="372" t="e">
        <f t="shared" si="14"/>
        <v>#N/A</v>
      </c>
      <c r="AA89" s="372" t="e">
        <f t="shared" si="14"/>
        <v>#N/A</v>
      </c>
      <c r="AB89" s="372" t="e">
        <f t="shared" si="14"/>
        <v>#N/A</v>
      </c>
      <c r="AC89" s="372" t="e">
        <f t="shared" si="14"/>
        <v>#N/A</v>
      </c>
      <c r="AD89" s="372" t="e">
        <f t="shared" si="14"/>
        <v>#N/A</v>
      </c>
      <c r="AE89" s="372" t="e">
        <f t="shared" si="14"/>
        <v>#N/A</v>
      </c>
      <c r="AF89" s="372" t="e">
        <f t="shared" si="14"/>
        <v>#N/A</v>
      </c>
      <c r="AG89" s="280"/>
      <c r="AH89" s="231"/>
      <c r="AI89" s="231"/>
      <c r="AJ89" s="404">
        <v>449</v>
      </c>
      <c r="AK89" s="231"/>
      <c r="AL89" s="280"/>
      <c r="AM89" s="280"/>
      <c r="AN89" s="280"/>
      <c r="AO89" s="280"/>
      <c r="AP89" s="280"/>
      <c r="AQ89" s="280"/>
      <c r="AR89" s="280"/>
      <c r="AS89" s="280"/>
      <c r="AT89" s="280"/>
      <c r="AU89" s="280"/>
      <c r="AV89" s="280"/>
      <c r="AW89" s="280"/>
      <c r="AX89" s="280"/>
      <c r="AY89" s="280"/>
    </row>
    <row r="90" spans="1:51" s="287" customFormat="1" hidden="1" x14ac:dyDescent="0.25">
      <c r="A90" s="625"/>
      <c r="B90" s="698"/>
      <c r="C90" s="691"/>
      <c r="D90" s="703"/>
      <c r="E90" s="692" t="s">
        <v>59</v>
      </c>
      <c r="F90" s="698" t="e">
        <f>RANK(F89,$W$19:$W$135,0)</f>
        <v>#N/A</v>
      </c>
      <c r="G90" s="698" t="e">
        <f>RANK(G89,$X$19:$X$135,0)</f>
        <v>#N/A</v>
      </c>
      <c r="H90" s="698" t="e">
        <f>RANK(H89,$Y$19:$Y$135,0)</f>
        <v>#N/A</v>
      </c>
      <c r="I90" s="698" t="e">
        <f>RANK(I89,$Z$19:$Z$135,0)</f>
        <v>#N/A</v>
      </c>
      <c r="J90" s="700" t="e">
        <f>RANK(J89,$AA$19:$AA$110,0)</f>
        <v>#N/A</v>
      </c>
      <c r="K90" s="698" t="e">
        <f>RANK(K89,$AB$19:$AB$109,0)</f>
        <v>#N/A</v>
      </c>
      <c r="L90" s="698" t="e">
        <f>RANK(L89,$AC$19:$AC$115,0)</f>
        <v>#N/A</v>
      </c>
      <c r="M90" s="698" t="e">
        <f>RANK(M89,$AD$19:$AD$135,0)</f>
        <v>#N/A</v>
      </c>
      <c r="N90" s="698" t="e">
        <f>RANK(N89,$AE$19:$AE$135,0)</f>
        <v>#N/A</v>
      </c>
      <c r="O90" s="698" t="e">
        <f>RANK(O89,$AF$19:$AF$135,0)</f>
        <v>#N/A</v>
      </c>
      <c r="P90" s="648"/>
      <c r="Q90" s="701"/>
      <c r="R90" s="696"/>
      <c r="S90" s="675">
        <f>B86</f>
        <v>69</v>
      </c>
      <c r="T90" s="287">
        <f>$A86</f>
        <v>0</v>
      </c>
      <c r="U90" s="287">
        <v>5</v>
      </c>
      <c r="V90" s="287">
        <f>$A86</f>
        <v>0</v>
      </c>
      <c r="W90" s="449"/>
      <c r="X90" s="307"/>
      <c r="Y90" s="307"/>
      <c r="Z90" s="307"/>
      <c r="AA90" s="307"/>
      <c r="AB90" s="307"/>
      <c r="AC90" s="307"/>
      <c r="AD90" s="450"/>
      <c r="AE90" s="450"/>
      <c r="AF90" s="450"/>
      <c r="AG90" s="280"/>
      <c r="AH90" s="231"/>
      <c r="AI90" s="231"/>
      <c r="AJ90" s="404">
        <v>449</v>
      </c>
      <c r="AK90" s="231"/>
      <c r="AL90" s="280"/>
      <c r="AM90" s="280"/>
      <c r="AN90" s="280"/>
      <c r="AO90" s="280"/>
      <c r="AP90" s="280"/>
      <c r="AQ90" s="280"/>
      <c r="AR90" s="280"/>
      <c r="AS90" s="280"/>
      <c r="AT90" s="280"/>
      <c r="AU90" s="280"/>
      <c r="AV90" s="280"/>
      <c r="AW90" s="280"/>
      <c r="AX90" s="280"/>
      <c r="AY90" s="280"/>
    </row>
    <row r="91" spans="1:51" s="280" customFormat="1" hidden="1" x14ac:dyDescent="0.35">
      <c r="A91" s="686"/>
      <c r="B91" s="523">
        <v>70</v>
      </c>
      <c r="C91" s="690" t="e">
        <f>VLOOKUP(B91,Уч!$A$2:$L$34,2,FALSE)</f>
        <v>#N/A</v>
      </c>
      <c r="D91" s="528" t="e">
        <f>VLOOKUP(B91,Уч!$A$2:$L$34,3,FALSE)</f>
        <v>#N/A</v>
      </c>
      <c r="E91" s="509" t="s">
        <v>19</v>
      </c>
      <c r="F91" s="670" t="e">
        <f>VLOOKUP($B91,'100 м 1'!$C$18:$I$87,5,FALSE)</f>
        <v>#N/A</v>
      </c>
      <c r="G91" s="670" t="e">
        <f>VLOOKUP($B91,'длина 2 '!$C$16:$O$54,11,FALSE)</f>
        <v>#N/A</v>
      </c>
      <c r="H91" s="670" t="e">
        <f>VLOOKUP($B91,'ядро 2'!$C$16:$K$60,8,FALSE)</f>
        <v>#N/A</v>
      </c>
      <c r="I91" s="670" t="e">
        <f>VLOOKUP($B91,'высота 2'!$C$16:$AF$57,29,FALSE)</f>
        <v>#N/A</v>
      </c>
      <c r="J91" s="671">
        <f>VLOOKUP($B91,'4_р'!$C$17:$H$73,5,FALSE)</f>
        <v>49.18</v>
      </c>
      <c r="K91" s="670">
        <f>VLOOKUP($B91,'1cб_р'!$C$17:$I$67,5,FALSE)</f>
        <v>15.24</v>
      </c>
      <c r="L91" s="670">
        <f>VLOOKUP($B91,Дс_р!$C$16:$K$70,8,FALSE)</f>
        <v>28.5</v>
      </c>
      <c r="M91" s="670" t="s">
        <v>349</v>
      </c>
      <c r="N91" s="670">
        <f>VLOOKUP($B91,К_р!$C$15:$K$68,8,FALSE)</f>
        <v>36.11</v>
      </c>
      <c r="O91" s="523" t="str">
        <f>VLOOKUP($B91,'15_р'!$C$17:$H$86,5,FALSE)</f>
        <v>4:33.36</v>
      </c>
      <c r="P91" s="695" t="e">
        <f>SUM(F93:O93)</f>
        <v>#N/A</v>
      </c>
      <c r="Q91" s="522" t="e">
        <f>LOOKUP(P91,Y$1:AH$1,Y$2:AH$2)</f>
        <v>#N/A</v>
      </c>
      <c r="R91" s="694" t="e">
        <f>AH91+AI91+5</f>
        <v>#N/A</v>
      </c>
      <c r="S91" s="523">
        <f>B91</f>
        <v>70</v>
      </c>
      <c r="T91" s="287">
        <f>$A91</f>
        <v>0</v>
      </c>
      <c r="U91" s="287">
        <v>1</v>
      </c>
      <c r="V91" s="287">
        <f>$A91</f>
        <v>0</v>
      </c>
      <c r="W91" s="449"/>
      <c r="X91" s="307"/>
      <c r="Y91" s="307"/>
      <c r="Z91" s="307"/>
      <c r="AA91" s="307"/>
      <c r="AB91" s="307"/>
      <c r="AC91" s="307"/>
      <c r="AD91" s="450"/>
      <c r="AE91" s="450"/>
      <c r="AF91" s="450"/>
      <c r="AH91" s="280" t="e">
        <f>IF(AND(T91&gt;16,P91&gt;=6200),"1",LOOKUP(T91,Y$5:AO$5,Y$6:AO$6))</f>
        <v>#N/A</v>
      </c>
      <c r="AI91" s="280" t="e">
        <f>LOOKUP(Q91,Y$8:AD$8,Y$9:AD$9)</f>
        <v>#N/A</v>
      </c>
      <c r="AJ91" s="404">
        <v>505</v>
      </c>
      <c r="AK91" s="231"/>
    </row>
    <row r="92" spans="1:51" s="280" customFormat="1" hidden="1" x14ac:dyDescent="0.35">
      <c r="A92" s="686"/>
      <c r="B92" s="523"/>
      <c r="C92" s="688" t="e">
        <f>VLOOKUP(B91,Уч!$A$2:$L$34,5,FALSE)</f>
        <v>#N/A</v>
      </c>
      <c r="D92" s="528" t="e">
        <f>VLOOKUP(B91,Уч!$A$2:$L$34,4,FALSE)</f>
        <v>#N/A</v>
      </c>
      <c r="E92" s="509" t="s">
        <v>25</v>
      </c>
      <c r="F92" s="672" t="e">
        <f>VLOOKUP($B91,'100 м 1'!$C$18:$I$87,6,FALSE)</f>
        <v>#N/A</v>
      </c>
      <c r="G92" s="672" t="e">
        <f>VLOOKUP($B91,'длина 2 '!$C$16:$O$54,12,FALSE)</f>
        <v>#N/A</v>
      </c>
      <c r="H92" s="523"/>
      <c r="I92" s="672"/>
      <c r="J92" s="673"/>
      <c r="K92" s="672">
        <f>VLOOKUP($B91,'1cб_р'!$C$17:$I$67,6,FALSE)</f>
        <v>-1.5</v>
      </c>
      <c r="L92" s="672"/>
      <c r="M92" s="672"/>
      <c r="N92" s="523"/>
      <c r="O92" s="523"/>
      <c r="P92" s="695"/>
      <c r="Q92" s="674"/>
      <c r="R92" s="694" t="e">
        <f>CONCATENATE(AH91,"+",AI91,"+",5)</f>
        <v>#N/A</v>
      </c>
      <c r="S92" s="523">
        <f>B91</f>
        <v>70</v>
      </c>
      <c r="T92" s="287">
        <f>$A91</f>
        <v>0</v>
      </c>
      <c r="U92" s="287">
        <v>2</v>
      </c>
      <c r="V92" s="287">
        <f>$A91</f>
        <v>0</v>
      </c>
      <c r="W92" s="449"/>
      <c r="X92" s="307"/>
      <c r="Y92" s="307"/>
      <c r="Z92" s="307"/>
      <c r="AA92" s="307"/>
      <c r="AB92" s="307"/>
      <c r="AC92" s="307"/>
      <c r="AD92" s="450"/>
      <c r="AE92" s="450"/>
      <c r="AF92" s="450"/>
      <c r="AH92" s="231"/>
      <c r="AI92" s="231"/>
      <c r="AJ92" s="404">
        <v>505</v>
      </c>
      <c r="AK92" s="231"/>
    </row>
    <row r="93" spans="1:51" s="280" customFormat="1" hidden="1" x14ac:dyDescent="0.35">
      <c r="A93" s="686"/>
      <c r="B93" s="523"/>
      <c r="C93" s="689" t="e">
        <f>VLOOKUP(B91,Уч!$A$2:$L$34,7,FALSE)</f>
        <v>#N/A</v>
      </c>
      <c r="D93" s="528"/>
      <c r="E93" s="509" t="s">
        <v>29</v>
      </c>
      <c r="F93" s="523" t="e">
        <f>VLOOKUP($B91,'100 м 1'!$C$18:$I$87,7,FALSE)</f>
        <v>#N/A</v>
      </c>
      <c r="G93" s="523" t="e">
        <f>VLOOKUP($B91,'длина 2 '!$C$16:$O$54,13,FALSE)</f>
        <v>#N/A</v>
      </c>
      <c r="H93" s="523" t="e">
        <f>VLOOKUP($B91,'ядро 2'!$C$16:$K$60,9,FALSE)</f>
        <v>#N/A</v>
      </c>
      <c r="I93" s="523" t="e">
        <f>VLOOKUP($B91,'высота 2'!$C$16:$AF$57,30,)</f>
        <v>#N/A</v>
      </c>
      <c r="J93" s="526">
        <f>VLOOKUP($B91,'4_р'!$C$17:$H$73,6,FALSE)</f>
        <v>853</v>
      </c>
      <c r="K93" s="523">
        <f>VLOOKUP($B91,'1cб_р'!$C$17:$I$67,7,FALSE)</f>
        <v>821</v>
      </c>
      <c r="L93" s="523">
        <f>VLOOKUP($B91,Дс_р!$C$16:$K$70,9,FALSE)</f>
        <v>435</v>
      </c>
      <c r="M93" s="523">
        <f>VLOOKUP($B91,Ш_р!$C$15:$AF$69,30,FALSE)</f>
        <v>0</v>
      </c>
      <c r="N93" s="523">
        <f>VLOOKUP($B91,К_р!$C$15:$K$68,9,FALSE)</f>
        <v>386</v>
      </c>
      <c r="O93" s="523">
        <f>VLOOKUP($B91,'15_р'!$C$17:$H$86,6,FALSE)</f>
        <v>723</v>
      </c>
      <c r="P93" s="695"/>
      <c r="Q93" s="650"/>
      <c r="R93" s="695"/>
      <c r="S93" s="523">
        <f>B91</f>
        <v>70</v>
      </c>
      <c r="T93" s="287">
        <f>$A91</f>
        <v>0</v>
      </c>
      <c r="U93" s="287">
        <v>3</v>
      </c>
      <c r="V93" s="287">
        <f>$A91</f>
        <v>0</v>
      </c>
      <c r="W93" s="449"/>
      <c r="X93" s="307"/>
      <c r="Y93" s="307"/>
      <c r="Z93" s="307"/>
      <c r="AA93" s="307"/>
      <c r="AB93" s="307"/>
      <c r="AC93" s="307"/>
      <c r="AD93" s="450"/>
      <c r="AE93" s="450"/>
      <c r="AF93" s="450"/>
      <c r="AH93" s="231"/>
      <c r="AI93" s="231"/>
      <c r="AJ93" s="404">
        <v>505</v>
      </c>
      <c r="AK93" s="231"/>
    </row>
    <row r="94" spans="1:51" s="280" customFormat="1" hidden="1" x14ac:dyDescent="0.35">
      <c r="A94" s="686"/>
      <c r="B94" s="523"/>
      <c r="C94" s="688" t="e">
        <f>VLOOKUP(B91,Уч!$A$2:$L$34,11,FALSE)</f>
        <v>#N/A</v>
      </c>
      <c r="D94" s="528"/>
      <c r="E94" s="509" t="s">
        <v>276</v>
      </c>
      <c r="F94" s="523" t="e">
        <f>F93</f>
        <v>#N/A</v>
      </c>
      <c r="G94" s="523" t="e">
        <f>F94+G93</f>
        <v>#N/A</v>
      </c>
      <c r="H94" s="523" t="e">
        <f>G94+H93</f>
        <v>#N/A</v>
      </c>
      <c r="I94" s="523" t="e">
        <f>H94+I93</f>
        <v>#N/A</v>
      </c>
      <c r="J94" s="526" t="e">
        <f>SUM($F93:J93)</f>
        <v>#N/A</v>
      </c>
      <c r="K94" s="523" t="e">
        <f>SUM($F93:$K93)</f>
        <v>#N/A</v>
      </c>
      <c r="L94" s="523" t="e">
        <f>K94+L93</f>
        <v>#N/A</v>
      </c>
      <c r="M94" s="523" t="e">
        <f>L94+M93</f>
        <v>#N/A</v>
      </c>
      <c r="N94" s="523" t="e">
        <f>SUM($F93:$N93)</f>
        <v>#N/A</v>
      </c>
      <c r="O94" s="523" t="e">
        <f>SUM($F93:$O93)</f>
        <v>#N/A</v>
      </c>
      <c r="P94" s="695"/>
      <c r="Q94" s="650"/>
      <c r="R94" s="695"/>
      <c r="S94" s="523">
        <f>B91</f>
        <v>70</v>
      </c>
      <c r="T94" s="287">
        <f>$A91</f>
        <v>0</v>
      </c>
      <c r="U94" s="287">
        <v>4</v>
      </c>
      <c r="V94" s="287">
        <f>$A91</f>
        <v>0</v>
      </c>
      <c r="W94" s="372" t="e">
        <f t="shared" ref="W94:AF94" si="15">F94</f>
        <v>#N/A</v>
      </c>
      <c r="X94" s="372" t="e">
        <f t="shared" si="15"/>
        <v>#N/A</v>
      </c>
      <c r="Y94" s="372" t="e">
        <f t="shared" si="15"/>
        <v>#N/A</v>
      </c>
      <c r="Z94" s="372" t="e">
        <f t="shared" si="15"/>
        <v>#N/A</v>
      </c>
      <c r="AA94" s="372" t="e">
        <f t="shared" si="15"/>
        <v>#N/A</v>
      </c>
      <c r="AB94" s="372" t="e">
        <f t="shared" si="15"/>
        <v>#N/A</v>
      </c>
      <c r="AC94" s="372" t="e">
        <f t="shared" si="15"/>
        <v>#N/A</v>
      </c>
      <c r="AD94" s="372" t="e">
        <f t="shared" si="15"/>
        <v>#N/A</v>
      </c>
      <c r="AE94" s="372" t="e">
        <f t="shared" si="15"/>
        <v>#N/A</v>
      </c>
      <c r="AF94" s="372" t="e">
        <f t="shared" si="15"/>
        <v>#N/A</v>
      </c>
      <c r="AH94" s="231"/>
      <c r="AI94" s="231"/>
      <c r="AJ94" s="404">
        <v>505</v>
      </c>
      <c r="AK94" s="231"/>
    </row>
    <row r="95" spans="1:51" s="280" customFormat="1" hidden="1" x14ac:dyDescent="0.25">
      <c r="A95" s="625"/>
      <c r="B95" s="698"/>
      <c r="C95" s="691"/>
      <c r="D95" s="699"/>
      <c r="E95" s="692" t="s">
        <v>59</v>
      </c>
      <c r="F95" s="698" t="e">
        <f>RANK(F94,$W$19:$W$135,0)</f>
        <v>#N/A</v>
      </c>
      <c r="G95" s="698" t="e">
        <f>RANK(G94,$X$19:$X$135,0)</f>
        <v>#N/A</v>
      </c>
      <c r="H95" s="698" t="e">
        <f>RANK(H94,$Y$19:$Y$135,0)</f>
        <v>#N/A</v>
      </c>
      <c r="I95" s="698" t="e">
        <f>RANK(I94,$Z$19:$Z$135,0)</f>
        <v>#N/A</v>
      </c>
      <c r="J95" s="700" t="e">
        <f>RANK(J94,$AA$19:$AA$110,0)</f>
        <v>#N/A</v>
      </c>
      <c r="K95" s="698" t="e">
        <f>RANK(K94,$AB$19:$AB$109,0)</f>
        <v>#N/A</v>
      </c>
      <c r="L95" s="698" t="e">
        <f>RANK(L94,$AC$19:$AC$115,0)</f>
        <v>#N/A</v>
      </c>
      <c r="M95" s="698" t="e">
        <f>RANK(M94,$AD$19:$AD$135,0)</f>
        <v>#N/A</v>
      </c>
      <c r="N95" s="698" t="e">
        <f>RANK(N94,$AE$19:$AE$135,0)</f>
        <v>#N/A</v>
      </c>
      <c r="O95" s="698" t="e">
        <f>RANK(O94,$AF$19:$AF$135,0)</f>
        <v>#N/A</v>
      </c>
      <c r="P95" s="648"/>
      <c r="Q95" s="701"/>
      <c r="R95" s="696"/>
      <c r="S95" s="675">
        <f>B91</f>
        <v>70</v>
      </c>
      <c r="T95" s="287">
        <f>$A91</f>
        <v>0</v>
      </c>
      <c r="U95" s="287">
        <v>5</v>
      </c>
      <c r="V95" s="287">
        <f>$A91</f>
        <v>0</v>
      </c>
      <c r="W95" s="449"/>
      <c r="X95" s="307"/>
      <c r="Y95" s="307"/>
      <c r="Z95" s="307"/>
      <c r="AA95" s="307"/>
      <c r="AB95" s="307"/>
      <c r="AC95" s="307"/>
      <c r="AD95" s="450"/>
      <c r="AE95" s="450"/>
      <c r="AF95" s="450"/>
      <c r="AH95" s="231"/>
      <c r="AI95" s="231"/>
      <c r="AJ95" s="404">
        <v>505</v>
      </c>
      <c r="AK95" s="231"/>
    </row>
    <row r="96" spans="1:51" s="280" customFormat="1" x14ac:dyDescent="0.35">
      <c r="A96" s="686">
        <v>7</v>
      </c>
      <c r="B96" s="523">
        <v>68</v>
      </c>
      <c r="C96" s="690" t="e">
        <f>VLOOKUP(B96,Уч!$A$2:$L$34,2,FALSE)</f>
        <v>#N/A</v>
      </c>
      <c r="D96" s="528" t="e">
        <f>VLOOKUP(B96,Уч!$A$2:$L$34,3,FALSE)</f>
        <v>#N/A</v>
      </c>
      <c r="E96" s="509" t="s">
        <v>19</v>
      </c>
      <c r="F96" s="670" t="e">
        <f>VLOOKUP($B96,'100 м 1'!$C$18:$I$87,5,FALSE)</f>
        <v>#N/A</v>
      </c>
      <c r="G96" s="670" t="e">
        <f>VLOOKUP($B96,'длина 2 '!$C$16:$O$54,11,FALSE)</f>
        <v>#N/A</v>
      </c>
      <c r="H96" s="670" t="e">
        <f>VLOOKUP($B96,'ядро 2'!$C$16:$K$60,8,FALSE)</f>
        <v>#N/A</v>
      </c>
      <c r="I96" s="670" t="e">
        <f>VLOOKUP($B96,'высота 2'!$C$16:$AF$57,29,FALSE)</f>
        <v>#N/A</v>
      </c>
      <c r="J96" s="671" t="s">
        <v>337</v>
      </c>
      <c r="K96" s="670" t="s">
        <v>346</v>
      </c>
      <c r="L96" s="670">
        <f>VLOOKUP($B96,Дс_р!$C$16:$K$70,8,FALSE)</f>
        <v>43.32</v>
      </c>
      <c r="M96" s="670">
        <f>VLOOKUP($B96,Ш_р!$C$15:$AF$69,29,FALSE)</f>
        <v>4.5999999999999996</v>
      </c>
      <c r="N96" s="670">
        <f>VLOOKUP($B96,К_р!$C$15:$K$68,8,FALSE)</f>
        <v>51.33</v>
      </c>
      <c r="O96" s="523" t="str">
        <f>VLOOKUP($B96,'15_р'!$C$17:$H$86,5,FALSE)</f>
        <v>4:42.73</v>
      </c>
      <c r="P96" s="695" t="e">
        <f>SUM(F98:O98)</f>
        <v>#N/A</v>
      </c>
      <c r="Q96" s="522" t="e">
        <f>LOOKUP(P96,Y$1:AH$1,Y$2:AH$2)</f>
        <v>#N/A</v>
      </c>
      <c r="R96" s="694" t="e">
        <f>AH96+AI96+5</f>
        <v>#N/A</v>
      </c>
      <c r="S96" s="523">
        <f>B96</f>
        <v>68</v>
      </c>
      <c r="T96" s="287">
        <f>$A96</f>
        <v>7</v>
      </c>
      <c r="U96" s="287">
        <v>1</v>
      </c>
      <c r="V96" s="287" t="s">
        <v>162</v>
      </c>
      <c r="W96" s="492"/>
      <c r="X96" s="492"/>
      <c r="Y96" s="492"/>
      <c r="Z96" s="492"/>
      <c r="AA96" s="492"/>
      <c r="AB96" s="492"/>
      <c r="AC96" s="492"/>
      <c r="AD96" s="492"/>
      <c r="AE96" s="492"/>
      <c r="AF96" s="492"/>
      <c r="AG96" s="287"/>
      <c r="AH96" s="280" t="e">
        <f>IF(AND(T96&gt;16,P96&gt;=6200),"1",LOOKUP(T96,Y$5:AO$5,Y$6:AO$6))</f>
        <v>#N/A</v>
      </c>
      <c r="AI96" s="280" t="e">
        <f>LOOKUP(Q96,Y$8:AD$8,Y$9:AD$9)</f>
        <v>#N/A</v>
      </c>
      <c r="AJ96" s="404">
        <v>319</v>
      </c>
      <c r="AK96" s="231"/>
    </row>
    <row r="97" spans="1:37" s="280" customFormat="1" x14ac:dyDescent="0.35">
      <c r="A97" s="686"/>
      <c r="B97" s="523"/>
      <c r="C97" s="688" t="e">
        <f>VLOOKUP(B96,Уч!$A$2:$L$34,5,FALSE)</f>
        <v>#N/A</v>
      </c>
      <c r="D97" s="525" t="e">
        <f>VLOOKUP(B96,Уч!$A$2:$L$34,4,FALSE)</f>
        <v>#N/A</v>
      </c>
      <c r="E97" s="509" t="s">
        <v>25</v>
      </c>
      <c r="F97" s="672" t="e">
        <f>VLOOKUP($B96,'100 м 1'!$C$18:$I$87,6,FALSE)</f>
        <v>#N/A</v>
      </c>
      <c r="G97" s="672" t="e">
        <f>VLOOKUP($B96,'длина 2 '!$C$16:$O$54,12,FALSE)</f>
        <v>#N/A</v>
      </c>
      <c r="H97" s="523"/>
      <c r="I97" s="672"/>
      <c r="J97" s="679"/>
      <c r="K97" s="672"/>
      <c r="L97" s="672"/>
      <c r="M97" s="672"/>
      <c r="N97" s="523"/>
      <c r="O97" s="523"/>
      <c r="P97" s="697"/>
      <c r="Q97" s="677"/>
      <c r="R97" s="694" t="e">
        <f>CONCATENATE(AH96,"+",AI96,"+",5)</f>
        <v>#N/A</v>
      </c>
      <c r="S97" s="523">
        <f>B96</f>
        <v>68</v>
      </c>
      <c r="T97" s="287">
        <f>$A96</f>
        <v>7</v>
      </c>
      <c r="U97" s="287">
        <v>2</v>
      </c>
      <c r="V97" s="287" t="s">
        <v>162</v>
      </c>
      <c r="W97" s="492"/>
      <c r="X97" s="492"/>
      <c r="Y97" s="492"/>
      <c r="Z97" s="492"/>
      <c r="AA97" s="492"/>
      <c r="AB97" s="492"/>
      <c r="AC97" s="492"/>
      <c r="AD97" s="492"/>
      <c r="AE97" s="492"/>
      <c r="AF97" s="492"/>
      <c r="AG97" s="287"/>
      <c r="AH97" s="231"/>
      <c r="AI97" s="231"/>
      <c r="AJ97" s="404">
        <v>319</v>
      </c>
      <c r="AK97" s="231"/>
    </row>
    <row r="98" spans="1:37" s="280" customFormat="1" x14ac:dyDescent="0.35">
      <c r="A98" s="686"/>
      <c r="B98" s="523"/>
      <c r="C98" s="689" t="e">
        <f>VLOOKUP(B96,Уч!$A$2:$L$34,7,FALSE)</f>
        <v>#N/A</v>
      </c>
      <c r="D98" s="525"/>
      <c r="E98" s="509" t="s">
        <v>29</v>
      </c>
      <c r="F98" s="523" t="e">
        <f>VLOOKUP($B96,'100 м 1'!$C$18:$I$87,7,FALSE)</f>
        <v>#N/A</v>
      </c>
      <c r="G98" s="523" t="e">
        <f>VLOOKUP($B96,'длина 2 '!$C$16:$O$54,13,FALSE)</f>
        <v>#N/A</v>
      </c>
      <c r="H98" s="523" t="e">
        <f>VLOOKUP($B96,'ядро 2'!$C$16:$K$60,9,FALSE)</f>
        <v>#N/A</v>
      </c>
      <c r="I98" s="523" t="e">
        <f>VLOOKUP($B96,'высота 2'!$C$16:$AF$57,30,)</f>
        <v>#N/A</v>
      </c>
      <c r="J98" s="538"/>
      <c r="K98" s="523"/>
      <c r="L98" s="523">
        <f>VLOOKUP($B96,Дс_р!$C$16:$K$70,9,FALSE)</f>
        <v>732</v>
      </c>
      <c r="M98" s="523">
        <f>VLOOKUP($B96,Ш_р!$C$15:$AF$69,30,FALSE)</f>
        <v>790</v>
      </c>
      <c r="N98" s="523">
        <f>VLOOKUP($B96,К_р!$C$15:$K$68,9,FALSE)</f>
        <v>608</v>
      </c>
      <c r="O98" s="523">
        <f>VLOOKUP($B96,'15_р'!$C$17:$H$86,6,FALSE)</f>
        <v>663</v>
      </c>
      <c r="P98" s="697"/>
      <c r="Q98" s="678"/>
      <c r="R98" s="695"/>
      <c r="S98" s="523">
        <f>B96</f>
        <v>68</v>
      </c>
      <c r="T98" s="287">
        <f>$A96</f>
        <v>7</v>
      </c>
      <c r="U98" s="287">
        <v>3</v>
      </c>
      <c r="V98" s="287" t="s">
        <v>162</v>
      </c>
      <c r="W98" s="492"/>
      <c r="X98" s="492"/>
      <c r="Y98" s="492"/>
      <c r="Z98" s="492"/>
      <c r="AA98" s="492"/>
      <c r="AB98" s="492"/>
      <c r="AC98" s="492"/>
      <c r="AD98" s="492"/>
      <c r="AE98" s="492"/>
      <c r="AF98" s="492"/>
      <c r="AG98" s="287"/>
      <c r="AH98" s="231"/>
      <c r="AI98" s="231"/>
      <c r="AJ98" s="404">
        <v>319</v>
      </c>
      <c r="AK98" s="231"/>
    </row>
    <row r="99" spans="1:37" s="280" customFormat="1" x14ac:dyDescent="0.35">
      <c r="A99" s="686"/>
      <c r="B99" s="523"/>
      <c r="C99" s="688" t="e">
        <f>VLOOKUP(B96,Уч!$A$2:$L$34,11,FALSE)</f>
        <v>#N/A</v>
      </c>
      <c r="D99" s="525"/>
      <c r="E99" s="509" t="s">
        <v>276</v>
      </c>
      <c r="F99" s="523" t="e">
        <f>F98</f>
        <v>#N/A</v>
      </c>
      <c r="G99" s="523" t="e">
        <f>F99+G98</f>
        <v>#N/A</v>
      </c>
      <c r="H99" s="523" t="e">
        <f>G99+H98</f>
        <v>#N/A</v>
      </c>
      <c r="I99" s="523" t="e">
        <f>H99+I98</f>
        <v>#N/A</v>
      </c>
      <c r="J99" s="538"/>
      <c r="K99" s="523"/>
      <c r="L99" s="523">
        <f>K99+L98</f>
        <v>732</v>
      </c>
      <c r="M99" s="523">
        <f>L99+M98</f>
        <v>1522</v>
      </c>
      <c r="N99" s="523" t="e">
        <f>SUM($F98:$N98)</f>
        <v>#N/A</v>
      </c>
      <c r="O99" s="523" t="e">
        <f>SUM($F98:$O98)</f>
        <v>#N/A</v>
      </c>
      <c r="P99" s="697"/>
      <c r="Q99" s="677"/>
      <c r="R99" s="695"/>
      <c r="S99" s="523">
        <f>B96</f>
        <v>68</v>
      </c>
      <c r="T99" s="287">
        <f>$A96</f>
        <v>7</v>
      </c>
      <c r="U99" s="287">
        <v>4</v>
      </c>
      <c r="V99" s="287" t="s">
        <v>162</v>
      </c>
      <c r="W99" s="372" t="e">
        <f t="shared" ref="W99:AF99" si="16">F99</f>
        <v>#N/A</v>
      </c>
      <c r="X99" s="372" t="e">
        <f t="shared" si="16"/>
        <v>#N/A</v>
      </c>
      <c r="Y99" s="372" t="e">
        <f t="shared" si="16"/>
        <v>#N/A</v>
      </c>
      <c r="Z99" s="372" t="e">
        <f t="shared" si="16"/>
        <v>#N/A</v>
      </c>
      <c r="AA99" s="372">
        <f t="shared" si="16"/>
        <v>0</v>
      </c>
      <c r="AB99" s="372">
        <f t="shared" si="16"/>
        <v>0</v>
      </c>
      <c r="AC99" s="372">
        <f t="shared" si="16"/>
        <v>732</v>
      </c>
      <c r="AD99" s="372">
        <f t="shared" si="16"/>
        <v>1522</v>
      </c>
      <c r="AE99" s="372" t="e">
        <f t="shared" si="16"/>
        <v>#N/A</v>
      </c>
      <c r="AF99" s="372" t="e">
        <f t="shared" si="16"/>
        <v>#N/A</v>
      </c>
      <c r="AG99" s="287"/>
      <c r="AH99" s="231"/>
      <c r="AI99" s="231"/>
      <c r="AJ99" s="404">
        <v>319</v>
      </c>
      <c r="AK99" s="231"/>
    </row>
    <row r="100" spans="1:37" s="280" customFormat="1" x14ac:dyDescent="0.25">
      <c r="A100" s="625"/>
      <c r="B100" s="698"/>
      <c r="C100" s="691"/>
      <c r="D100" s="703"/>
      <c r="E100" s="692" t="s">
        <v>59</v>
      </c>
      <c r="F100" s="698" t="e">
        <f>RANK(F99,$W$19:$W$135,0)</f>
        <v>#N/A</v>
      </c>
      <c r="G100" s="698" t="e">
        <f>RANK(G99,$X$19:$X$135,0)</f>
        <v>#N/A</v>
      </c>
      <c r="H100" s="698" t="e">
        <f>RANK(H99,$Y$19:$Y$135,0)</f>
        <v>#N/A</v>
      </c>
      <c r="I100" s="698" t="e">
        <f>RANK(I99,$Z$19:$Z$135,0)</f>
        <v>#N/A</v>
      </c>
      <c r="J100" s="704"/>
      <c r="K100" s="698"/>
      <c r="L100" s="698" t="e">
        <f>RANK(L99,$AC$19:$AC$120,0)</f>
        <v>#N/A</v>
      </c>
      <c r="M100" s="698" t="e">
        <f>RANK(M99,$AD$19:$AD$135,0)</f>
        <v>#N/A</v>
      </c>
      <c r="N100" s="698" t="e">
        <f>RANK(N99,$AE$19:$AE$135,0)</f>
        <v>#N/A</v>
      </c>
      <c r="O100" s="698" t="e">
        <f>RANK(O99,$AF$19:$AF$135,0)</f>
        <v>#N/A</v>
      </c>
      <c r="P100" s="705"/>
      <c r="Q100" s="706"/>
      <c r="R100" s="696"/>
      <c r="S100" s="675">
        <f>B96</f>
        <v>68</v>
      </c>
      <c r="T100" s="287">
        <f>$A96</f>
        <v>7</v>
      </c>
      <c r="U100" s="287">
        <v>5</v>
      </c>
      <c r="V100" s="287" t="s">
        <v>162</v>
      </c>
      <c r="W100" s="492"/>
      <c r="X100" s="492"/>
      <c r="Y100" s="492"/>
      <c r="Z100" s="492"/>
      <c r="AA100" s="492"/>
      <c r="AB100" s="492"/>
      <c r="AC100" s="492"/>
      <c r="AD100" s="492"/>
      <c r="AE100" s="492"/>
      <c r="AF100" s="492"/>
      <c r="AG100" s="287"/>
      <c r="AH100" s="231"/>
      <c r="AI100" s="231"/>
      <c r="AJ100" s="404">
        <v>319</v>
      </c>
      <c r="AK100" s="231"/>
    </row>
    <row r="101" spans="1:37" s="280" customFormat="1" hidden="1" x14ac:dyDescent="0.35">
      <c r="A101" s="686"/>
      <c r="B101" s="523">
        <v>24</v>
      </c>
      <c r="C101" s="690" t="e">
        <f>VLOOKUP(B101,Уч!$A$2:$L$34,2,FALSE)</f>
        <v>#N/A</v>
      </c>
      <c r="D101" s="528" t="e">
        <f>VLOOKUP(B101,Уч!$A$2:$L$34,3,FALSE)</f>
        <v>#N/A</v>
      </c>
      <c r="E101" s="509" t="s">
        <v>19</v>
      </c>
      <c r="F101" s="670">
        <f>VLOOKUP($B101,'100 м 1'!$C$18:$I$87,5,FALSE)</f>
        <v>11.15</v>
      </c>
      <c r="G101" s="670" t="e">
        <f>VLOOKUP($B101,'длина 2 '!$C$16:$O$54,11,FALSE)</f>
        <v>#N/A</v>
      </c>
      <c r="H101" s="670" t="e">
        <f>VLOOKUP($B101,'ядро 2'!$C$16:$K$60,8,FALSE)</f>
        <v>#N/A</v>
      </c>
      <c r="I101" s="670" t="e">
        <f>VLOOKUP($B101,'высота 2'!$C$16:$AF$57,29,FALSE)</f>
        <v>#N/A</v>
      </c>
      <c r="J101" s="671">
        <f>VLOOKUP($B101,'4_р'!$C$17:$H$73,5,FALSE)</f>
        <v>54.8</v>
      </c>
      <c r="K101" s="670">
        <f>VLOOKUP($B101,'1cб_р'!$C$17:$I$67,5,FALSE)</f>
        <v>17.36</v>
      </c>
      <c r="L101" s="670">
        <f>VLOOKUP($B101,Дс_р!$C$16:$K$70,8,FALSE)</f>
        <v>29.35</v>
      </c>
      <c r="M101" s="670" t="s">
        <v>349</v>
      </c>
      <c r="N101" s="670">
        <f>VLOOKUP($B101,К_р!$C$15:$K$68,8,FALSE)</f>
        <v>45.16</v>
      </c>
      <c r="O101" s="523" t="str">
        <f>VLOOKUP($B101,'15_р'!$C$17:$H$86,5,FALSE)</f>
        <v>4:51.71</v>
      </c>
      <c r="P101" s="695" t="e">
        <f>SUM(F103:O103)</f>
        <v>#N/A</v>
      </c>
      <c r="Q101" s="522" t="e">
        <f>LOOKUP(P101,Y$1:AH$1,Y$2:AH$2)</f>
        <v>#N/A</v>
      </c>
      <c r="R101" s="694" t="e">
        <f>AH101+AI101+5</f>
        <v>#N/A</v>
      </c>
      <c r="S101" s="523">
        <f>B101</f>
        <v>24</v>
      </c>
      <c r="T101" s="287">
        <f>$A101</f>
        <v>0</v>
      </c>
      <c r="U101" s="287">
        <v>1</v>
      </c>
      <c r="V101" s="287">
        <f>$A101</f>
        <v>0</v>
      </c>
      <c r="W101" s="449"/>
      <c r="X101" s="307"/>
      <c r="Y101" s="307"/>
      <c r="Z101" s="307"/>
      <c r="AA101" s="307"/>
      <c r="AB101" s="307"/>
      <c r="AC101" s="307"/>
      <c r="AD101" s="450"/>
      <c r="AE101" s="450"/>
      <c r="AF101" s="450"/>
      <c r="AH101" s="280" t="e">
        <f>IF(AND(T101&gt;16,P101&gt;=6200),"1",LOOKUP(T101,Y$5:AO$5,Y$6:AO$6))</f>
        <v>#N/A</v>
      </c>
      <c r="AI101" s="280" t="e">
        <f>LOOKUP(Q101,Y$8:AD$8,Y$9:AD$9)</f>
        <v>#N/A</v>
      </c>
      <c r="AJ101" s="404">
        <v>316</v>
      </c>
      <c r="AK101" s="231"/>
    </row>
    <row r="102" spans="1:37" s="280" customFormat="1" hidden="1" x14ac:dyDescent="0.35">
      <c r="A102" s="686"/>
      <c r="B102" s="523"/>
      <c r="C102" s="688" t="e">
        <f>VLOOKUP(B101,Уч!$A$2:$L$34,5,FALSE)</f>
        <v>#N/A</v>
      </c>
      <c r="D102" s="525" t="e">
        <f>VLOOKUP(B101,Уч!$A$2:$L$34,4,FALSE)</f>
        <v>#N/A</v>
      </c>
      <c r="E102" s="509" t="s">
        <v>25</v>
      </c>
      <c r="F102" s="672">
        <f>VLOOKUP($B101,'100 м 1'!$C$18:$I$87,6,FALSE)</f>
        <v>1</v>
      </c>
      <c r="G102" s="672" t="e">
        <f>VLOOKUP($B101,'длина 2 '!$C$16:$O$54,12,FALSE)</f>
        <v>#N/A</v>
      </c>
      <c r="H102" s="523"/>
      <c r="I102" s="672"/>
      <c r="J102" s="673"/>
      <c r="K102" s="672">
        <f>VLOOKUP($B101,'1cб_р'!$C$17:$I$67,6,FALSE)</f>
        <v>0</v>
      </c>
      <c r="L102" s="672"/>
      <c r="M102" s="672"/>
      <c r="N102" s="523"/>
      <c r="O102" s="523"/>
      <c r="P102" s="695"/>
      <c r="Q102" s="674"/>
      <c r="R102" s="694" t="e">
        <f>CONCATENATE(AH101,"+",AI101,"+",5)</f>
        <v>#N/A</v>
      </c>
      <c r="S102" s="523">
        <f>B101</f>
        <v>24</v>
      </c>
      <c r="T102" s="287">
        <f>$A101</f>
        <v>0</v>
      </c>
      <c r="U102" s="287">
        <v>2</v>
      </c>
      <c r="V102" s="287">
        <f>$A101</f>
        <v>0</v>
      </c>
      <c r="W102" s="449"/>
      <c r="X102" s="307"/>
      <c r="Y102" s="307"/>
      <c r="Z102" s="307"/>
      <c r="AA102" s="307"/>
      <c r="AB102" s="307"/>
      <c r="AC102" s="307"/>
      <c r="AD102" s="450"/>
      <c r="AE102" s="450"/>
      <c r="AF102" s="450"/>
      <c r="AH102" s="231"/>
      <c r="AI102" s="231"/>
      <c r="AJ102" s="404">
        <v>316</v>
      </c>
      <c r="AK102" s="231"/>
    </row>
    <row r="103" spans="1:37" s="280" customFormat="1" hidden="1" x14ac:dyDescent="0.35">
      <c r="A103" s="686"/>
      <c r="B103" s="523"/>
      <c r="C103" s="689" t="e">
        <f>VLOOKUP(B101,Уч!$A$2:$L$34,7,FALSE)</f>
        <v>#N/A</v>
      </c>
      <c r="D103" s="525"/>
      <c r="E103" s="509" t="s">
        <v>29</v>
      </c>
      <c r="F103" s="523">
        <f>VLOOKUP($B101,'100 м 1'!$C$18:$I$87,7,FALSE)</f>
        <v>827</v>
      </c>
      <c r="G103" s="523" t="e">
        <f>VLOOKUP($B101,'длина 2 '!$C$16:$O$54,13,FALSE)</f>
        <v>#N/A</v>
      </c>
      <c r="H103" s="523" t="e">
        <f>VLOOKUP($B101,'ядро 2'!$C$16:$K$60,9,FALSE)</f>
        <v>#N/A</v>
      </c>
      <c r="I103" s="523" t="e">
        <f>VLOOKUP($B101,'высота 2'!$C$16:$AF$57,30,)</f>
        <v>#N/A</v>
      </c>
      <c r="J103" s="526">
        <f>VLOOKUP($B101,'4_р'!$C$17:$H$73,6,FALSE)</f>
        <v>607</v>
      </c>
      <c r="K103" s="523">
        <f>VLOOKUP($B101,'1cб_р'!$C$17:$I$67,7,FALSE)</f>
        <v>587</v>
      </c>
      <c r="L103" s="523">
        <f>VLOOKUP($B101,Дс_р!$C$16:$K$70,9,FALSE)</f>
        <v>452</v>
      </c>
      <c r="M103" s="523">
        <f>VLOOKUP($B101,Ш_р!$C$15:$AF$69,30,FALSE)</f>
        <v>0</v>
      </c>
      <c r="N103" s="523">
        <f>VLOOKUP($B101,К_р!$C$15:$K$68,9,FALSE)</f>
        <v>517</v>
      </c>
      <c r="O103" s="523">
        <f>VLOOKUP($B101,'15_р'!$C$17:$H$86,6,FALSE)</f>
        <v>608</v>
      </c>
      <c r="P103" s="695"/>
      <c r="Q103" s="676"/>
      <c r="R103" s="695"/>
      <c r="S103" s="523">
        <f>B101</f>
        <v>24</v>
      </c>
      <c r="T103" s="287">
        <f>$A101</f>
        <v>0</v>
      </c>
      <c r="U103" s="287">
        <v>3</v>
      </c>
      <c r="V103" s="287">
        <f>$A101</f>
        <v>0</v>
      </c>
      <c r="W103" s="449"/>
      <c r="X103" s="307"/>
      <c r="Y103" s="307"/>
      <c r="Z103" s="307"/>
      <c r="AA103" s="307"/>
      <c r="AB103" s="307"/>
      <c r="AC103" s="307"/>
      <c r="AD103" s="450"/>
      <c r="AE103" s="450"/>
      <c r="AF103" s="450"/>
      <c r="AH103" s="231"/>
      <c r="AI103" s="231"/>
      <c r="AJ103" s="404">
        <v>316</v>
      </c>
      <c r="AK103" s="231"/>
    </row>
    <row r="104" spans="1:37" s="280" customFormat="1" hidden="1" x14ac:dyDescent="0.35">
      <c r="A104" s="686"/>
      <c r="B104" s="523"/>
      <c r="C104" s="688" t="e">
        <f>VLOOKUP(B101,Уч!$A$2:$L$34,11,FALSE)</f>
        <v>#N/A</v>
      </c>
      <c r="D104" s="525"/>
      <c r="E104" s="509" t="s">
        <v>276</v>
      </c>
      <c r="F104" s="523">
        <f>F103</f>
        <v>827</v>
      </c>
      <c r="G104" s="523" t="e">
        <f>F104+G103</f>
        <v>#N/A</v>
      </c>
      <c r="H104" s="523" t="e">
        <f>G104+H103</f>
        <v>#N/A</v>
      </c>
      <c r="I104" s="523" t="e">
        <f>H104+I103</f>
        <v>#N/A</v>
      </c>
      <c r="J104" s="526" t="e">
        <f>SUM($F103:J103)</f>
        <v>#N/A</v>
      </c>
      <c r="K104" s="523" t="e">
        <f>SUM($F103:$K103)</f>
        <v>#N/A</v>
      </c>
      <c r="L104" s="523" t="e">
        <f>K104+L103</f>
        <v>#N/A</v>
      </c>
      <c r="M104" s="523" t="e">
        <f>L104+M103</f>
        <v>#N/A</v>
      </c>
      <c r="N104" s="523" t="e">
        <f>SUM($F103:$N103)</f>
        <v>#N/A</v>
      </c>
      <c r="O104" s="523" t="e">
        <f>SUM($F103:$O103)</f>
        <v>#N/A</v>
      </c>
      <c r="P104" s="695"/>
      <c r="Q104" s="674"/>
      <c r="R104" s="695"/>
      <c r="S104" s="523">
        <f>B101</f>
        <v>24</v>
      </c>
      <c r="T104" s="287">
        <f>$A101</f>
        <v>0</v>
      </c>
      <c r="U104" s="287">
        <v>4</v>
      </c>
      <c r="V104" s="287">
        <f>$A101</f>
        <v>0</v>
      </c>
      <c r="W104" s="372">
        <f t="shared" ref="W104:AF104" si="17">F104</f>
        <v>827</v>
      </c>
      <c r="X104" s="372" t="e">
        <f t="shared" si="17"/>
        <v>#N/A</v>
      </c>
      <c r="Y104" s="372" t="e">
        <f t="shared" si="17"/>
        <v>#N/A</v>
      </c>
      <c r="Z104" s="372" t="e">
        <f t="shared" si="17"/>
        <v>#N/A</v>
      </c>
      <c r="AA104" s="372" t="e">
        <f t="shared" si="17"/>
        <v>#N/A</v>
      </c>
      <c r="AB104" s="372" t="e">
        <f t="shared" si="17"/>
        <v>#N/A</v>
      </c>
      <c r="AC104" s="372" t="e">
        <f t="shared" si="17"/>
        <v>#N/A</v>
      </c>
      <c r="AD104" s="372" t="e">
        <f t="shared" si="17"/>
        <v>#N/A</v>
      </c>
      <c r="AE104" s="372" t="e">
        <f t="shared" si="17"/>
        <v>#N/A</v>
      </c>
      <c r="AF104" s="372" t="e">
        <f t="shared" si="17"/>
        <v>#N/A</v>
      </c>
      <c r="AH104" s="231"/>
      <c r="AI104" s="231"/>
      <c r="AJ104" s="404">
        <v>316</v>
      </c>
      <c r="AK104" s="231"/>
    </row>
    <row r="105" spans="1:37" s="280" customFormat="1" hidden="1" x14ac:dyDescent="0.25">
      <c r="A105" s="625"/>
      <c r="B105" s="698"/>
      <c r="C105" s="691"/>
      <c r="D105" s="703"/>
      <c r="E105" s="692" t="s">
        <v>59</v>
      </c>
      <c r="F105" s="698" t="e">
        <f>RANK(F104,$W$19:$W$135,0)</f>
        <v>#N/A</v>
      </c>
      <c r="G105" s="698" t="e">
        <f>RANK(G104,$X$19:$X$135,0)</f>
        <v>#N/A</v>
      </c>
      <c r="H105" s="698" t="e">
        <f>RANK(H104,$Y$19:$Y$135,0)</f>
        <v>#N/A</v>
      </c>
      <c r="I105" s="698" t="e">
        <f>RANK(I104,$Z$19:$Z$135,0)</f>
        <v>#N/A</v>
      </c>
      <c r="J105" s="700" t="e">
        <f>RANK(J104,$AA$19:$AA$119,0)</f>
        <v>#N/A</v>
      </c>
      <c r="K105" s="698" t="e">
        <f>RANK(K104,$AB$19:$AB$121,0)</f>
        <v>#N/A</v>
      </c>
      <c r="L105" s="698" t="e">
        <f>RANK(L104,$AC$19:$AC$115,0)</f>
        <v>#N/A</v>
      </c>
      <c r="M105" s="698" t="e">
        <f>RANK(M104,$AD$19:$AD$135,0)</f>
        <v>#N/A</v>
      </c>
      <c r="N105" s="698" t="e">
        <f>RANK(N104,$AE$19:$AE$135,0)</f>
        <v>#N/A</v>
      </c>
      <c r="O105" s="698" t="e">
        <f>RANK(O104,$AF$19:$AF$135,0)</f>
        <v>#N/A</v>
      </c>
      <c r="P105" s="648"/>
      <c r="Q105" s="701"/>
      <c r="R105" s="696"/>
      <c r="S105" s="675">
        <f>B101</f>
        <v>24</v>
      </c>
      <c r="T105" s="287">
        <f>$A101</f>
        <v>0</v>
      </c>
      <c r="U105" s="287">
        <v>5</v>
      </c>
      <c r="V105" s="287">
        <f>$A101</f>
        <v>0</v>
      </c>
      <c r="W105" s="449"/>
      <c r="X105" s="307"/>
      <c r="Y105" s="307"/>
      <c r="Z105" s="307"/>
      <c r="AA105" s="307"/>
      <c r="AB105" s="307"/>
      <c r="AC105" s="307"/>
      <c r="AD105" s="450"/>
      <c r="AE105" s="450"/>
      <c r="AF105" s="450"/>
      <c r="AH105" s="231"/>
      <c r="AI105" s="231"/>
      <c r="AJ105" s="404">
        <v>316</v>
      </c>
      <c r="AK105" s="231"/>
    </row>
    <row r="106" spans="1:37" s="280" customFormat="1" hidden="1" x14ac:dyDescent="0.35">
      <c r="A106" s="686"/>
      <c r="B106" s="523">
        <v>56</v>
      </c>
      <c r="C106" s="690" t="e">
        <f>VLOOKUP(B106,Уч!$A$2:$L$34,2,FALSE)</f>
        <v>#N/A</v>
      </c>
      <c r="D106" s="528" t="e">
        <f>VLOOKUP(B106,Уч!$A$2:$L$34,3,FALSE)</f>
        <v>#N/A</v>
      </c>
      <c r="E106" s="509" t="s">
        <v>19</v>
      </c>
      <c r="F106" s="670" t="e">
        <f>VLOOKUP($B106,'100 м 1'!$C$18:$I$87,5,FALSE)</f>
        <v>#N/A</v>
      </c>
      <c r="G106" s="670" t="e">
        <f>VLOOKUP($B106,'длина 2 '!$C$16:$O$54,11,FALSE)</f>
        <v>#N/A</v>
      </c>
      <c r="H106" s="670" t="e">
        <f>VLOOKUP($B106,'ядро 2'!$C$16:$K$60,8,FALSE)</f>
        <v>#N/A</v>
      </c>
      <c r="I106" s="670" t="e">
        <f>VLOOKUP($B106,'высота 2'!$C$16:$AF$57,29,FALSE)</f>
        <v>#N/A</v>
      </c>
      <c r="J106" s="670" t="s">
        <v>346</v>
      </c>
      <c r="K106" s="670" t="s">
        <v>346</v>
      </c>
      <c r="L106" s="670">
        <f>VLOOKUP($B106,Дс_р!$C$16:$K$70,8,FALSE)</f>
        <v>37.44</v>
      </c>
      <c r="M106" s="670" t="s">
        <v>349</v>
      </c>
      <c r="N106" s="670">
        <f>VLOOKUP($B106,К_р!$C$15:$K$68,8,FALSE)</f>
        <v>46.68</v>
      </c>
      <c r="O106" s="523">
        <f>VLOOKUP($B106,'15_р'!$C$17:$H$86,5,FALSE)</f>
        <v>0</v>
      </c>
      <c r="P106" s="695" t="e">
        <f>SUM(F108:O108)</f>
        <v>#N/A</v>
      </c>
      <c r="Q106" s="522" t="e">
        <f>LOOKUP(P106,Y$1:AH$1,Y$2:AH$2)</f>
        <v>#N/A</v>
      </c>
      <c r="R106" s="694" t="e">
        <f>AH106+AI106+5</f>
        <v>#N/A</v>
      </c>
      <c r="S106" s="523">
        <f>B106</f>
        <v>56</v>
      </c>
      <c r="T106" s="287">
        <f>$A106</f>
        <v>0</v>
      </c>
      <c r="U106" s="287">
        <v>1</v>
      </c>
      <c r="V106" s="287">
        <f>$A106</f>
        <v>0</v>
      </c>
      <c r="W106" s="449"/>
      <c r="X106" s="307"/>
      <c r="Y106" s="307"/>
      <c r="Z106" s="307"/>
      <c r="AA106" s="307"/>
      <c r="AB106" s="307"/>
      <c r="AC106" s="307"/>
      <c r="AD106" s="450"/>
      <c r="AE106" s="450"/>
      <c r="AF106" s="450"/>
      <c r="AH106" s="280" t="e">
        <f>IF(AND(T106&gt;16,P106&gt;=6200),"1",LOOKUP(T106,Y$5:AO$5,Y$6:AO$6))</f>
        <v>#N/A</v>
      </c>
      <c r="AI106" s="280" t="e">
        <f>LOOKUP(Q106,Y$8:AD$8,Y$9:AD$9)</f>
        <v>#N/A</v>
      </c>
      <c r="AJ106" s="404">
        <v>101</v>
      </c>
      <c r="AK106" s="231"/>
    </row>
    <row r="107" spans="1:37" s="280" customFormat="1" hidden="1" x14ac:dyDescent="0.35">
      <c r="A107" s="686"/>
      <c r="B107" s="523"/>
      <c r="C107" s="688" t="e">
        <f>VLOOKUP(B106,Уч!$A$2:$L$34,5,FALSE)</f>
        <v>#N/A</v>
      </c>
      <c r="D107" s="525" t="e">
        <f>VLOOKUP(B106,Уч!$A$2:$L$34,4,FALSE)</f>
        <v>#N/A</v>
      </c>
      <c r="E107" s="509" t="s">
        <v>25</v>
      </c>
      <c r="F107" s="672" t="e">
        <f>VLOOKUP($B106,'100 м 1'!$C$18:$I$87,6,FALSE)</f>
        <v>#N/A</v>
      </c>
      <c r="G107" s="672" t="e">
        <f>VLOOKUP($B106,'длина 2 '!$C$16:$O$54,12,FALSE)</f>
        <v>#N/A</v>
      </c>
      <c r="H107" s="523"/>
      <c r="I107" s="672"/>
      <c r="J107" s="679"/>
      <c r="K107" s="672"/>
      <c r="L107" s="672"/>
      <c r="M107" s="672"/>
      <c r="N107" s="523"/>
      <c r="O107" s="523"/>
      <c r="P107" s="695"/>
      <c r="Q107" s="674"/>
      <c r="R107" s="694" t="e">
        <f>CONCATENATE(AH106,"+",AI106,"+",5)</f>
        <v>#N/A</v>
      </c>
      <c r="S107" s="523">
        <f>B106</f>
        <v>56</v>
      </c>
      <c r="T107" s="287">
        <f>$A106</f>
        <v>0</v>
      </c>
      <c r="U107" s="287">
        <v>2</v>
      </c>
      <c r="V107" s="287">
        <f>$A106</f>
        <v>0</v>
      </c>
      <c r="W107" s="449"/>
      <c r="X107" s="307"/>
      <c r="Y107" s="307"/>
      <c r="Z107" s="307"/>
      <c r="AA107" s="307"/>
      <c r="AB107" s="307"/>
      <c r="AC107" s="307"/>
      <c r="AD107" s="450"/>
      <c r="AE107" s="450"/>
      <c r="AF107" s="450"/>
      <c r="AH107" s="231"/>
      <c r="AI107" s="231"/>
      <c r="AJ107" s="404">
        <v>101</v>
      </c>
      <c r="AK107" s="231"/>
    </row>
    <row r="108" spans="1:37" s="280" customFormat="1" hidden="1" x14ac:dyDescent="0.35">
      <c r="A108" s="686"/>
      <c r="B108" s="523"/>
      <c r="C108" s="689" t="e">
        <f>VLOOKUP(B106,Уч!$A$2:$L$34,7,FALSE)</f>
        <v>#N/A</v>
      </c>
      <c r="D108" s="525"/>
      <c r="E108" s="509" t="s">
        <v>29</v>
      </c>
      <c r="F108" s="523" t="e">
        <f>VLOOKUP($B106,'100 м 1'!$C$18:$I$87,7,FALSE)</f>
        <v>#N/A</v>
      </c>
      <c r="G108" s="523" t="e">
        <f>VLOOKUP($B106,'длина 2 '!$C$16:$O$54,13,FALSE)</f>
        <v>#N/A</v>
      </c>
      <c r="H108" s="523" t="e">
        <f>VLOOKUP($B106,'ядро 2'!$C$16:$K$60,9,FALSE)</f>
        <v>#N/A</v>
      </c>
      <c r="I108" s="523" t="e">
        <f>VLOOKUP($B106,'высота 2'!$C$16:$AF$57,30,)</f>
        <v>#N/A</v>
      </c>
      <c r="J108" s="538">
        <f>VLOOKUP($B106,'4_р'!$C$17:$H$73,6,FALSE)</f>
        <v>0</v>
      </c>
      <c r="K108" s="523"/>
      <c r="L108" s="523">
        <f>VLOOKUP($B106,Дс_р!$C$16:$K$70,9,FALSE)</f>
        <v>613</v>
      </c>
      <c r="M108" s="523">
        <f>VLOOKUP($B106,Ш_р!$C$15:$AF$69,30,FALSE)</f>
        <v>0</v>
      </c>
      <c r="N108" s="523">
        <f>VLOOKUP($B106,К_р!$C$15:$K$68,9,FALSE)</f>
        <v>540</v>
      </c>
      <c r="O108" s="523">
        <f>VLOOKUP($B106,'15_р'!$C$17:$H$86,6,FALSE)</f>
        <v>0</v>
      </c>
      <c r="P108" s="695"/>
      <c r="Q108" s="676"/>
      <c r="R108" s="695"/>
      <c r="S108" s="523">
        <f>B106</f>
        <v>56</v>
      </c>
      <c r="T108" s="287">
        <f>$A106</f>
        <v>0</v>
      </c>
      <c r="U108" s="287">
        <v>3</v>
      </c>
      <c r="V108" s="287">
        <f>$A106</f>
        <v>0</v>
      </c>
      <c r="W108" s="449"/>
      <c r="X108" s="307"/>
      <c r="Y108" s="307"/>
      <c r="Z108" s="307"/>
      <c r="AA108" s="307"/>
      <c r="AB108" s="307"/>
      <c r="AC108" s="307"/>
      <c r="AD108" s="450"/>
      <c r="AE108" s="450"/>
      <c r="AF108" s="450"/>
      <c r="AH108" s="231"/>
      <c r="AI108" s="231"/>
      <c r="AJ108" s="404">
        <v>101</v>
      </c>
      <c r="AK108" s="231"/>
    </row>
    <row r="109" spans="1:37" s="280" customFormat="1" hidden="1" x14ac:dyDescent="0.35">
      <c r="A109" s="686"/>
      <c r="B109" s="523"/>
      <c r="C109" s="688" t="e">
        <f>VLOOKUP(B106,Уч!$A$2:$L$34,11,FALSE)</f>
        <v>#N/A</v>
      </c>
      <c r="D109" s="525"/>
      <c r="E109" s="509" t="s">
        <v>276</v>
      </c>
      <c r="F109" s="523" t="e">
        <f>F108</f>
        <v>#N/A</v>
      </c>
      <c r="G109" s="523" t="e">
        <f>F109+G108</f>
        <v>#N/A</v>
      </c>
      <c r="H109" s="523" t="e">
        <f>G109+H108</f>
        <v>#N/A</v>
      </c>
      <c r="I109" s="523" t="e">
        <f>H109+I108</f>
        <v>#N/A</v>
      </c>
      <c r="J109" s="538" t="e">
        <f>SUM($F108:J108)</f>
        <v>#N/A</v>
      </c>
      <c r="K109" s="523"/>
      <c r="L109" s="523">
        <f>K109+L108</f>
        <v>613</v>
      </c>
      <c r="M109" s="523">
        <f>L109+M108</f>
        <v>613</v>
      </c>
      <c r="N109" s="523" t="e">
        <f>SUM($F108:$N108)</f>
        <v>#N/A</v>
      </c>
      <c r="O109" s="523" t="e">
        <f>SUM($F108:$O108)</f>
        <v>#N/A</v>
      </c>
      <c r="P109" s="695"/>
      <c r="Q109" s="676"/>
      <c r="R109" s="695"/>
      <c r="S109" s="523">
        <f>B106</f>
        <v>56</v>
      </c>
      <c r="T109" s="287">
        <f>$A106</f>
        <v>0</v>
      </c>
      <c r="U109" s="287">
        <v>4</v>
      </c>
      <c r="V109" s="287">
        <f>$A106</f>
        <v>0</v>
      </c>
      <c r="W109" s="372" t="e">
        <f t="shared" ref="W109:AF109" si="18">F109</f>
        <v>#N/A</v>
      </c>
      <c r="X109" s="372" t="e">
        <f t="shared" si="18"/>
        <v>#N/A</v>
      </c>
      <c r="Y109" s="372" t="e">
        <f t="shared" si="18"/>
        <v>#N/A</v>
      </c>
      <c r="Z109" s="372" t="e">
        <f t="shared" si="18"/>
        <v>#N/A</v>
      </c>
      <c r="AA109" s="372" t="e">
        <f t="shared" si="18"/>
        <v>#N/A</v>
      </c>
      <c r="AB109" s="372">
        <f t="shared" si="18"/>
        <v>0</v>
      </c>
      <c r="AC109" s="372">
        <f t="shared" si="18"/>
        <v>613</v>
      </c>
      <c r="AD109" s="372">
        <f t="shared" si="18"/>
        <v>613</v>
      </c>
      <c r="AE109" s="372" t="e">
        <f t="shared" si="18"/>
        <v>#N/A</v>
      </c>
      <c r="AF109" s="372" t="e">
        <f t="shared" si="18"/>
        <v>#N/A</v>
      </c>
      <c r="AH109" s="231"/>
      <c r="AI109" s="231"/>
      <c r="AJ109" s="404">
        <v>101</v>
      </c>
      <c r="AK109" s="231"/>
    </row>
    <row r="110" spans="1:37" s="280" customFormat="1" hidden="1" x14ac:dyDescent="0.25">
      <c r="A110" s="625"/>
      <c r="B110" s="698"/>
      <c r="C110" s="691"/>
      <c r="D110" s="703"/>
      <c r="E110" s="692" t="s">
        <v>59</v>
      </c>
      <c r="F110" s="698" t="e">
        <f>RANK(F109,$W$19:$W$135,0)</f>
        <v>#N/A</v>
      </c>
      <c r="G110" s="698" t="e">
        <f>RANK(G109,$X$19:$X$135,0)</f>
        <v>#N/A</v>
      </c>
      <c r="H110" s="698" t="e">
        <f>RANK(H109,$Y$19:$Y$135,0)</f>
        <v>#N/A</v>
      </c>
      <c r="I110" s="698" t="e">
        <f>RANK(I109,$Z$19:$Z$135,0)</f>
        <v>#N/A</v>
      </c>
      <c r="J110" s="704" t="e">
        <f>RANK(J109,$AA$19:$AA$135,0)</f>
        <v>#N/A</v>
      </c>
      <c r="K110" s="698"/>
      <c r="L110" s="698" t="e">
        <f>RANK(L109,$AC$19:$AC$120,0)</f>
        <v>#N/A</v>
      </c>
      <c r="M110" s="698" t="e">
        <f>RANK(M109,$AD$19:$AD$135,0)</f>
        <v>#N/A</v>
      </c>
      <c r="N110" s="698" t="e">
        <f>RANK(N109,$AE$19:$AE$135,0)</f>
        <v>#N/A</v>
      </c>
      <c r="O110" s="698" t="e">
        <f>RANK(O109,$AF$19:$AF$135,0)</f>
        <v>#N/A</v>
      </c>
      <c r="P110" s="648"/>
      <c r="Q110" s="701"/>
      <c r="R110" s="696"/>
      <c r="S110" s="675">
        <f>B106</f>
        <v>56</v>
      </c>
      <c r="T110" s="287">
        <f>$A106</f>
        <v>0</v>
      </c>
      <c r="U110" s="287">
        <v>5</v>
      </c>
      <c r="V110" s="287">
        <f>$A106</f>
        <v>0</v>
      </c>
      <c r="W110" s="449"/>
      <c r="X110" s="307"/>
      <c r="Y110" s="307"/>
      <c r="Z110" s="307"/>
      <c r="AA110" s="307"/>
      <c r="AB110" s="307"/>
      <c r="AC110" s="307"/>
      <c r="AD110" s="450"/>
      <c r="AE110" s="450"/>
      <c r="AF110" s="450"/>
      <c r="AH110" s="231"/>
      <c r="AI110" s="231"/>
      <c r="AJ110" s="404">
        <v>101</v>
      </c>
      <c r="AK110" s="231"/>
    </row>
    <row r="111" spans="1:37" s="280" customFormat="1" x14ac:dyDescent="0.35">
      <c r="A111" s="686"/>
      <c r="B111" s="523">
        <v>29</v>
      </c>
      <c r="C111" s="690" t="e">
        <f>VLOOKUP(B111,Уч!$A$2:$L$34,2,FALSE)</f>
        <v>#N/A</v>
      </c>
      <c r="D111" s="528" t="e">
        <f>VLOOKUP(B111,Уч!$A$2:$L$34,3,FALSE)</f>
        <v>#N/A</v>
      </c>
      <c r="E111" s="509" t="s">
        <v>19</v>
      </c>
      <c r="F111" s="670" t="e">
        <f>VLOOKUP($B111,'100 м 1'!$C$18:$I$87,5,FALSE)</f>
        <v>#N/A</v>
      </c>
      <c r="G111" s="670" t="e">
        <f>VLOOKUP($B111,'длина 2 '!$C$16:$O$54,11,FALSE)</f>
        <v>#N/A</v>
      </c>
      <c r="H111" s="670" t="e">
        <f>VLOOKUP($B111,'ядро 2'!$C$16:$K$60,8,FALSE)</f>
        <v>#N/A</v>
      </c>
      <c r="I111" s="670" t="e">
        <f>VLOOKUP($B111,'высота 2'!$C$16:$AF$57,29,FALSE)</f>
        <v>#N/A</v>
      </c>
      <c r="J111" s="671">
        <f>VLOOKUP($B111,'4_р'!$C$17:$H$73,5,FALSE)</f>
        <v>50.57</v>
      </c>
      <c r="K111" s="670">
        <f>VLOOKUP($B111,'1cб_р'!$C$17:$I$67,5,FALSE)</f>
        <v>14.69</v>
      </c>
      <c r="L111" s="670">
        <f>VLOOKUP($B111,Дс_р!$C$16:$K$70,8,FALSE)</f>
        <v>42.74</v>
      </c>
      <c r="M111" s="670" t="s">
        <v>349</v>
      </c>
      <c r="N111" s="670" t="s">
        <v>347</v>
      </c>
      <c r="O111" s="523"/>
      <c r="P111" s="695"/>
      <c r="Q111" s="522"/>
      <c r="R111" s="694"/>
      <c r="S111" s="523">
        <f>B111</f>
        <v>29</v>
      </c>
      <c r="T111" s="287">
        <f>$A111</f>
        <v>0</v>
      </c>
      <c r="U111" s="287">
        <v>1</v>
      </c>
      <c r="V111" s="287" t="s">
        <v>162</v>
      </c>
      <c r="W111" s="307"/>
      <c r="X111" s="307"/>
      <c r="Y111" s="307"/>
      <c r="Z111" s="307"/>
      <c r="AA111" s="307"/>
      <c r="AB111" s="307"/>
      <c r="AC111" s="307"/>
      <c r="AD111" s="450"/>
      <c r="AE111" s="450"/>
      <c r="AF111" s="450"/>
      <c r="AH111" s="280" t="e">
        <f>IF(AND(T111&gt;16,P111&gt;=6200),"1",LOOKUP(T111,Y$5:AO$5,Y$6:AO$6))</f>
        <v>#N/A</v>
      </c>
      <c r="AI111" s="280" t="e">
        <f>LOOKUP(Q111,Y$8:AD$8,Y$9:AD$9)</f>
        <v>#N/A</v>
      </c>
      <c r="AJ111" s="404">
        <v>103</v>
      </c>
      <c r="AK111" s="287"/>
    </row>
    <row r="112" spans="1:37" s="280" customFormat="1" x14ac:dyDescent="0.35">
      <c r="A112" s="686"/>
      <c r="B112" s="523"/>
      <c r="C112" s="688" t="e">
        <f>VLOOKUP(B111,Уч!$A$2:$L$34,5,FALSE)</f>
        <v>#N/A</v>
      </c>
      <c r="D112" s="525" t="e">
        <f>VLOOKUP(B111,Уч!$A$2:$L$34,4,FALSE)</f>
        <v>#N/A</v>
      </c>
      <c r="E112" s="509" t="s">
        <v>25</v>
      </c>
      <c r="F112" s="672" t="e">
        <f>VLOOKUP($B111,'100 м 1'!$C$18:$I$87,6,FALSE)</f>
        <v>#N/A</v>
      </c>
      <c r="G112" s="672" t="e">
        <f>VLOOKUP($B111,'длина 2 '!$C$16:$O$54,12,FALSE)</f>
        <v>#N/A</v>
      </c>
      <c r="H112" s="523"/>
      <c r="I112" s="672"/>
      <c r="J112" s="673"/>
      <c r="K112" s="672">
        <f>VLOOKUP($B111,'1cб_р'!$C$17:$I$67,6,FALSE)</f>
        <v>0</v>
      </c>
      <c r="L112" s="672"/>
      <c r="M112" s="672"/>
      <c r="N112" s="523"/>
      <c r="O112" s="523"/>
      <c r="P112" s="695"/>
      <c r="Q112" s="674"/>
      <c r="R112" s="694"/>
      <c r="S112" s="523">
        <f>B111</f>
        <v>29</v>
      </c>
      <c r="T112" s="287">
        <f>$A111</f>
        <v>0</v>
      </c>
      <c r="U112" s="287">
        <v>2</v>
      </c>
      <c r="V112" s="287" t="s">
        <v>162</v>
      </c>
      <c r="W112" s="307"/>
      <c r="X112" s="307"/>
      <c r="Y112" s="307"/>
      <c r="Z112" s="307"/>
      <c r="AA112" s="307"/>
      <c r="AB112" s="307"/>
      <c r="AC112" s="307"/>
      <c r="AD112" s="450"/>
      <c r="AE112" s="450"/>
      <c r="AF112" s="450"/>
      <c r="AH112" s="231"/>
      <c r="AI112" s="231"/>
      <c r="AJ112" s="404">
        <v>103</v>
      </c>
      <c r="AK112" s="287"/>
    </row>
    <row r="113" spans="1:51" s="280" customFormat="1" x14ac:dyDescent="0.35">
      <c r="A113" s="686"/>
      <c r="B113" s="523"/>
      <c r="C113" s="689" t="e">
        <f>VLOOKUP(B111,Уч!$A$2:$L$34,7,FALSE)</f>
        <v>#N/A</v>
      </c>
      <c r="D113" s="525"/>
      <c r="E113" s="509" t="s">
        <v>29</v>
      </c>
      <c r="F113" s="523" t="e">
        <f>VLOOKUP($B111,'100 м 1'!$C$18:$I$87,7,FALSE)</f>
        <v>#N/A</v>
      </c>
      <c r="G113" s="523" t="e">
        <f>VLOOKUP($B111,'длина 2 '!$C$16:$O$54,13,FALSE)</f>
        <v>#N/A</v>
      </c>
      <c r="H113" s="523" t="e">
        <f>VLOOKUP($B111,'ядро 2'!$C$16:$K$60,9,FALSE)</f>
        <v>#N/A</v>
      </c>
      <c r="I113" s="523" t="e">
        <f>VLOOKUP($B111,'высота 2'!$C$16:$AF$57,30,)</f>
        <v>#N/A</v>
      </c>
      <c r="J113" s="526">
        <f>VLOOKUP($B111,'4_р'!$C$17:$H$73,6,FALSE)</f>
        <v>789</v>
      </c>
      <c r="K113" s="523">
        <f>VLOOKUP($B111,'1cб_р'!$C$17:$I$67,7,FALSE)</f>
        <v>887</v>
      </c>
      <c r="L113" s="523">
        <f>VLOOKUP($B111,Дс_р!$C$16:$K$70,9,FALSE)</f>
        <v>720</v>
      </c>
      <c r="M113" s="523"/>
      <c r="N113" s="523"/>
      <c r="O113" s="523"/>
      <c r="P113" s="695"/>
      <c r="Q113" s="557"/>
      <c r="R113" s="695"/>
      <c r="S113" s="523">
        <f>B111</f>
        <v>29</v>
      </c>
      <c r="T113" s="287">
        <f>$A111</f>
        <v>0</v>
      </c>
      <c r="U113" s="287">
        <v>3</v>
      </c>
      <c r="V113" s="287" t="s">
        <v>162</v>
      </c>
      <c r="W113" s="307"/>
      <c r="X113" s="307"/>
      <c r="Y113" s="307"/>
      <c r="Z113" s="307"/>
      <c r="AA113" s="307"/>
      <c r="AB113" s="307"/>
      <c r="AC113" s="307"/>
      <c r="AD113" s="450"/>
      <c r="AE113" s="450"/>
      <c r="AF113" s="450"/>
      <c r="AH113" s="231"/>
      <c r="AI113" s="231"/>
      <c r="AJ113" s="404">
        <v>103</v>
      </c>
      <c r="AK113" s="287"/>
    </row>
    <row r="114" spans="1:51" s="280" customFormat="1" x14ac:dyDescent="0.35">
      <c r="A114" s="686"/>
      <c r="B114" s="523"/>
      <c r="C114" s="688" t="e">
        <f>VLOOKUP(B111,Уч!$A$2:$L$34,11,FALSE)</f>
        <v>#N/A</v>
      </c>
      <c r="D114" s="525"/>
      <c r="E114" s="509" t="s">
        <v>276</v>
      </c>
      <c r="F114" s="523" t="e">
        <f>F113</f>
        <v>#N/A</v>
      </c>
      <c r="G114" s="523" t="e">
        <f>F114+G113</f>
        <v>#N/A</v>
      </c>
      <c r="H114" s="523" t="e">
        <f>G114+H113</f>
        <v>#N/A</v>
      </c>
      <c r="I114" s="523" t="e">
        <f>H114+I113</f>
        <v>#N/A</v>
      </c>
      <c r="J114" s="526" t="e">
        <f>SUM($F113:J113)</f>
        <v>#N/A</v>
      </c>
      <c r="K114" s="523" t="e">
        <f>SUM($F113:$K113)</f>
        <v>#N/A</v>
      </c>
      <c r="L114" s="523" t="e">
        <f>K114+L113</f>
        <v>#N/A</v>
      </c>
      <c r="M114" s="523"/>
      <c r="N114" s="523"/>
      <c r="O114" s="523"/>
      <c r="P114" s="695"/>
      <c r="Q114" s="557"/>
      <c r="R114" s="695"/>
      <c r="S114" s="523">
        <f>B111</f>
        <v>29</v>
      </c>
      <c r="T114" s="287">
        <f>$A111</f>
        <v>0</v>
      </c>
      <c r="U114" s="287">
        <v>4</v>
      </c>
      <c r="V114" s="287" t="s">
        <v>162</v>
      </c>
      <c r="W114" s="372" t="e">
        <f t="shared" ref="W114:AF114" si="19">F114</f>
        <v>#N/A</v>
      </c>
      <c r="X114" s="372" t="e">
        <f t="shared" si="19"/>
        <v>#N/A</v>
      </c>
      <c r="Y114" s="372" t="e">
        <f t="shared" si="19"/>
        <v>#N/A</v>
      </c>
      <c r="Z114" s="372" t="e">
        <f t="shared" si="19"/>
        <v>#N/A</v>
      </c>
      <c r="AA114" s="372" t="e">
        <f t="shared" si="19"/>
        <v>#N/A</v>
      </c>
      <c r="AB114" s="372" t="e">
        <f t="shared" si="19"/>
        <v>#N/A</v>
      </c>
      <c r="AC114" s="372" t="e">
        <f t="shared" si="19"/>
        <v>#N/A</v>
      </c>
      <c r="AD114" s="372">
        <f t="shared" si="19"/>
        <v>0</v>
      </c>
      <c r="AE114" s="372">
        <f t="shared" si="19"/>
        <v>0</v>
      </c>
      <c r="AF114" s="372">
        <f t="shared" si="19"/>
        <v>0</v>
      </c>
      <c r="AH114" s="231"/>
      <c r="AI114" s="231"/>
      <c r="AJ114" s="404">
        <v>103</v>
      </c>
      <c r="AK114" s="287"/>
    </row>
    <row r="115" spans="1:51" s="280" customFormat="1" x14ac:dyDescent="0.25">
      <c r="A115" s="625"/>
      <c r="B115" s="698"/>
      <c r="C115" s="691"/>
      <c r="D115" s="703"/>
      <c r="E115" s="692" t="s">
        <v>59</v>
      </c>
      <c r="F115" s="698" t="e">
        <f>RANK(F114,$W$19:$W$135,0)</f>
        <v>#N/A</v>
      </c>
      <c r="G115" s="698" t="e">
        <f>RANK(G114,$X$19:$X$135,0)</f>
        <v>#N/A</v>
      </c>
      <c r="H115" s="698" t="e">
        <f>RANK(H114,$Y$19:$Y$135,0)</f>
        <v>#N/A</v>
      </c>
      <c r="I115" s="698" t="e">
        <f>RANK(I114,$Z$19:$Z$135,0)</f>
        <v>#N/A</v>
      </c>
      <c r="J115" s="700" t="e">
        <f>RANK(J114,$AA$19:$AA$110,0)</f>
        <v>#N/A</v>
      </c>
      <c r="K115" s="698" t="e">
        <f>RANK(K114,$AB$19:$AB$109,0)</f>
        <v>#N/A</v>
      </c>
      <c r="L115" s="698" t="e">
        <f>RANK(L114,$AC$19:$AC$115,0)</f>
        <v>#N/A</v>
      </c>
      <c r="M115" s="698"/>
      <c r="N115" s="698"/>
      <c r="O115" s="698"/>
      <c r="P115" s="648"/>
      <c r="Q115" s="701"/>
      <c r="R115" s="696"/>
      <c r="S115" s="675">
        <f>B111</f>
        <v>29</v>
      </c>
      <c r="T115" s="287">
        <f>$A111</f>
        <v>0</v>
      </c>
      <c r="U115" s="287">
        <v>5</v>
      </c>
      <c r="V115" s="287" t="s">
        <v>162</v>
      </c>
      <c r="W115" s="449"/>
      <c r="X115" s="307"/>
      <c r="Y115" s="307"/>
      <c r="Z115" s="307"/>
      <c r="AA115" s="307"/>
      <c r="AB115" s="307"/>
      <c r="AC115" s="307"/>
      <c r="AD115" s="450"/>
      <c r="AE115" s="450"/>
      <c r="AF115" s="450"/>
      <c r="AH115" s="231"/>
      <c r="AI115" s="231"/>
      <c r="AJ115" s="404">
        <v>103</v>
      </c>
      <c r="AK115" s="231"/>
    </row>
    <row r="116" spans="1:51" s="280" customFormat="1" x14ac:dyDescent="0.35">
      <c r="A116" s="686"/>
      <c r="B116" s="523">
        <v>63</v>
      </c>
      <c r="C116" s="690" t="e">
        <f>VLOOKUP(B116,Уч!$A$2:$L$34,2,FALSE)</f>
        <v>#N/A</v>
      </c>
      <c r="D116" s="528" t="e">
        <f>VLOOKUP(B116,Уч!$A$2:$L$34,3,FALSE)</f>
        <v>#N/A</v>
      </c>
      <c r="E116" s="509" t="s">
        <v>19</v>
      </c>
      <c r="F116" s="670" t="e">
        <f>VLOOKUP($B116,'100 м 1'!$C$18:$I$87,5,FALSE)</f>
        <v>#N/A</v>
      </c>
      <c r="G116" s="670" t="e">
        <f>VLOOKUP($B116,'длина 2 '!$C$16:$O$54,11,FALSE)</f>
        <v>#N/A</v>
      </c>
      <c r="H116" s="670" t="e">
        <f>VLOOKUP($B116,'ядро 2'!$C$16:$K$60,8,FALSE)</f>
        <v>#N/A</v>
      </c>
      <c r="I116" s="670">
        <f>VLOOKUP($B116,'высота 2'!$C$16:$AF$57,29,FALSE)</f>
        <v>1.88</v>
      </c>
      <c r="J116" s="671">
        <f>VLOOKUP($B116,'4_р'!$C$17:$H$73,5,FALSE)</f>
        <v>51.43</v>
      </c>
      <c r="K116" s="670" t="s">
        <v>346</v>
      </c>
      <c r="L116" s="670">
        <f>VLOOKUP($B116,Дс_р!$C$16:$K$70,8,FALSE)</f>
        <v>30.59</v>
      </c>
      <c r="M116" s="670" t="s">
        <v>349</v>
      </c>
      <c r="N116" s="670" t="s">
        <v>337</v>
      </c>
      <c r="O116" s="523"/>
      <c r="P116" s="695"/>
      <c r="Q116" s="522"/>
      <c r="R116" s="694"/>
      <c r="S116" s="523">
        <f>B116</f>
        <v>63</v>
      </c>
      <c r="T116" s="287">
        <f>$A116</f>
        <v>0</v>
      </c>
      <c r="U116" s="287">
        <v>1</v>
      </c>
      <c r="V116" s="287">
        <f>$A116</f>
        <v>0</v>
      </c>
      <c r="W116" s="449"/>
      <c r="X116" s="307"/>
      <c r="Y116" s="307"/>
      <c r="Z116" s="307"/>
      <c r="AA116" s="307"/>
      <c r="AB116" s="307"/>
      <c r="AC116" s="307"/>
      <c r="AD116" s="450"/>
      <c r="AE116" s="450"/>
      <c r="AF116" s="450"/>
      <c r="AH116" s="280" t="e">
        <f>IF(AND(T116&gt;16,P116&gt;=6200),"1",LOOKUP(T116,Y$5:AO$5,Y$6:AO$6))</f>
        <v>#N/A</v>
      </c>
      <c r="AI116" s="280" t="e">
        <f>LOOKUP(Q116,Y$8:AD$8,Y$9:AD$9)</f>
        <v>#N/A</v>
      </c>
      <c r="AJ116" s="404">
        <v>334</v>
      </c>
      <c r="AK116" s="231"/>
      <c r="AP116" s="287"/>
      <c r="AQ116" s="287"/>
      <c r="AR116" s="287"/>
      <c r="AS116" s="287"/>
      <c r="AT116" s="287"/>
      <c r="AU116" s="287"/>
      <c r="AV116" s="287"/>
      <c r="AW116" s="287"/>
      <c r="AX116" s="287"/>
      <c r="AY116" s="287"/>
    </row>
    <row r="117" spans="1:51" s="280" customFormat="1" x14ac:dyDescent="0.35">
      <c r="A117" s="686"/>
      <c r="B117" s="523"/>
      <c r="C117" s="688" t="e">
        <f>VLOOKUP(B116,Уч!$A$2:$L$34,5,FALSE)</f>
        <v>#N/A</v>
      </c>
      <c r="D117" s="528" t="e">
        <f>VLOOKUP(B116,Уч!$A$2:$L$34,4,FALSE)</f>
        <v>#N/A</v>
      </c>
      <c r="E117" s="509" t="s">
        <v>25</v>
      </c>
      <c r="F117" s="672" t="e">
        <f>VLOOKUP($B116,'100 м 1'!$C$18:$I$87,6,FALSE)</f>
        <v>#N/A</v>
      </c>
      <c r="G117" s="672" t="e">
        <f>VLOOKUP($B116,'длина 2 '!$C$16:$O$54,12,FALSE)</f>
        <v>#N/A</v>
      </c>
      <c r="H117" s="523"/>
      <c r="I117" s="672"/>
      <c r="J117" s="673"/>
      <c r="K117" s="672"/>
      <c r="L117" s="672"/>
      <c r="M117" s="672"/>
      <c r="N117" s="523"/>
      <c r="O117" s="523"/>
      <c r="P117" s="695"/>
      <c r="Q117" s="674"/>
      <c r="R117" s="694"/>
      <c r="S117" s="523">
        <f>B116</f>
        <v>63</v>
      </c>
      <c r="T117" s="287">
        <f>$A116</f>
        <v>0</v>
      </c>
      <c r="U117" s="287">
        <v>2</v>
      </c>
      <c r="V117" s="287">
        <f>$A116</f>
        <v>0</v>
      </c>
      <c r="W117" s="449"/>
      <c r="X117" s="307"/>
      <c r="Y117" s="307"/>
      <c r="Z117" s="307"/>
      <c r="AA117" s="307"/>
      <c r="AB117" s="307"/>
      <c r="AC117" s="307"/>
      <c r="AD117" s="450"/>
      <c r="AE117" s="450"/>
      <c r="AF117" s="450"/>
      <c r="AH117" s="231"/>
      <c r="AI117" s="231"/>
      <c r="AJ117" s="404">
        <v>334</v>
      </c>
      <c r="AK117" s="231"/>
      <c r="AP117" s="287"/>
      <c r="AQ117" s="287"/>
      <c r="AR117" s="287"/>
      <c r="AS117" s="287"/>
      <c r="AT117" s="287"/>
      <c r="AU117" s="287"/>
      <c r="AV117" s="287"/>
      <c r="AW117" s="287"/>
      <c r="AX117" s="287"/>
      <c r="AY117" s="287"/>
    </row>
    <row r="118" spans="1:51" s="280" customFormat="1" x14ac:dyDescent="0.35">
      <c r="A118" s="686"/>
      <c r="B118" s="523"/>
      <c r="C118" s="689" t="e">
        <f>VLOOKUP(B116,Уч!$A$2:$L$34,7,FALSE)</f>
        <v>#N/A</v>
      </c>
      <c r="D118" s="528"/>
      <c r="E118" s="509" t="s">
        <v>29</v>
      </c>
      <c r="F118" s="523" t="e">
        <f>VLOOKUP($B116,'100 м 1'!$C$18:$I$87,7,FALSE)</f>
        <v>#N/A</v>
      </c>
      <c r="G118" s="523" t="e">
        <f>VLOOKUP($B116,'длина 2 '!$C$16:$O$54,13,FALSE)</f>
        <v>#N/A</v>
      </c>
      <c r="H118" s="523" t="e">
        <f>VLOOKUP($B116,'ядро 2'!$C$16:$K$60,9,FALSE)</f>
        <v>#N/A</v>
      </c>
      <c r="I118" s="523">
        <f>VLOOKUP($B116,'высота 2'!$C$16:$AF$57,30,)</f>
        <v>0</v>
      </c>
      <c r="J118" s="526">
        <f>VLOOKUP($B116,'4_р'!$C$17:$H$73,6,FALSE)</f>
        <v>750</v>
      </c>
      <c r="K118" s="523"/>
      <c r="L118" s="523">
        <f>VLOOKUP($B116,Дс_р!$C$16:$K$70,9,FALSE)</f>
        <v>476</v>
      </c>
      <c r="M118" s="523">
        <f>VLOOKUP($B116,Ш_р!$C$15:$AF$69,30,FALSE)</f>
        <v>0</v>
      </c>
      <c r="N118" s="523"/>
      <c r="O118" s="523"/>
      <c r="P118" s="695"/>
      <c r="Q118" s="676"/>
      <c r="R118" s="695"/>
      <c r="S118" s="523">
        <f>B116</f>
        <v>63</v>
      </c>
      <c r="T118" s="287">
        <f>$A116</f>
        <v>0</v>
      </c>
      <c r="U118" s="287">
        <v>3</v>
      </c>
      <c r="V118" s="287">
        <f>$A116</f>
        <v>0</v>
      </c>
      <c r="W118" s="449"/>
      <c r="X118" s="307"/>
      <c r="Y118" s="307"/>
      <c r="Z118" s="307"/>
      <c r="AA118" s="307"/>
      <c r="AB118" s="307"/>
      <c r="AC118" s="307"/>
      <c r="AD118" s="450"/>
      <c r="AE118" s="450"/>
      <c r="AF118" s="450"/>
      <c r="AH118" s="231"/>
      <c r="AI118" s="231"/>
      <c r="AJ118" s="404">
        <v>334</v>
      </c>
      <c r="AK118" s="231"/>
      <c r="AP118" s="287"/>
      <c r="AQ118" s="287"/>
      <c r="AR118" s="287"/>
      <c r="AS118" s="287"/>
      <c r="AT118" s="287"/>
      <c r="AU118" s="287"/>
      <c r="AV118" s="287"/>
      <c r="AW118" s="287"/>
      <c r="AX118" s="287"/>
      <c r="AY118" s="287"/>
    </row>
    <row r="119" spans="1:51" s="280" customFormat="1" x14ac:dyDescent="0.35">
      <c r="A119" s="686"/>
      <c r="B119" s="523"/>
      <c r="C119" s="688" t="e">
        <f>VLOOKUP(B116,Уч!$A$2:$L$34,11,FALSE)</f>
        <v>#N/A</v>
      </c>
      <c r="D119" s="528"/>
      <c r="E119" s="509" t="s">
        <v>276</v>
      </c>
      <c r="F119" s="523" t="e">
        <f>F118</f>
        <v>#N/A</v>
      </c>
      <c r="G119" s="523" t="e">
        <f>F119+G118</f>
        <v>#N/A</v>
      </c>
      <c r="H119" s="523" t="e">
        <f>G119+H118</f>
        <v>#N/A</v>
      </c>
      <c r="I119" s="523" t="e">
        <f>H119+I118</f>
        <v>#N/A</v>
      </c>
      <c r="J119" s="526" t="e">
        <f>SUM($F118:J118)</f>
        <v>#N/A</v>
      </c>
      <c r="K119" s="523"/>
      <c r="L119" s="523">
        <f>K119+L118</f>
        <v>476</v>
      </c>
      <c r="M119" s="523">
        <f>L119+M118</f>
        <v>476</v>
      </c>
      <c r="N119" s="523"/>
      <c r="O119" s="523"/>
      <c r="P119" s="695"/>
      <c r="Q119" s="674"/>
      <c r="R119" s="695"/>
      <c r="S119" s="523">
        <f>B116</f>
        <v>63</v>
      </c>
      <c r="T119" s="287">
        <f>$A116</f>
        <v>0</v>
      </c>
      <c r="U119" s="287">
        <v>4</v>
      </c>
      <c r="V119" s="287">
        <f>$A116</f>
        <v>0</v>
      </c>
      <c r="W119" s="372" t="e">
        <f t="shared" ref="W119:AF119" si="20">F119</f>
        <v>#N/A</v>
      </c>
      <c r="X119" s="372" t="e">
        <f t="shared" si="20"/>
        <v>#N/A</v>
      </c>
      <c r="Y119" s="372" t="e">
        <f t="shared" si="20"/>
        <v>#N/A</v>
      </c>
      <c r="Z119" s="372" t="e">
        <f t="shared" si="20"/>
        <v>#N/A</v>
      </c>
      <c r="AA119" s="372" t="e">
        <f t="shared" si="20"/>
        <v>#N/A</v>
      </c>
      <c r="AB119" s="372">
        <f t="shared" si="20"/>
        <v>0</v>
      </c>
      <c r="AC119" s="372">
        <f t="shared" si="20"/>
        <v>476</v>
      </c>
      <c r="AD119" s="372">
        <f t="shared" si="20"/>
        <v>476</v>
      </c>
      <c r="AE119" s="372">
        <f t="shared" si="20"/>
        <v>0</v>
      </c>
      <c r="AF119" s="372">
        <f t="shared" si="20"/>
        <v>0</v>
      </c>
      <c r="AH119" s="231"/>
      <c r="AI119" s="231"/>
      <c r="AJ119" s="404">
        <v>334</v>
      </c>
      <c r="AK119" s="231"/>
      <c r="AP119" s="287"/>
      <c r="AQ119" s="287"/>
      <c r="AR119" s="287"/>
      <c r="AS119" s="287"/>
      <c r="AT119" s="287"/>
      <c r="AU119" s="287"/>
      <c r="AV119" s="287"/>
      <c r="AW119" s="287"/>
      <c r="AX119" s="287"/>
      <c r="AY119" s="287"/>
    </row>
    <row r="120" spans="1:51" s="280" customFormat="1" x14ac:dyDescent="0.25">
      <c r="A120" s="625"/>
      <c r="B120" s="698"/>
      <c r="C120" s="691"/>
      <c r="D120" s="699"/>
      <c r="E120" s="692" t="s">
        <v>59</v>
      </c>
      <c r="F120" s="698" t="e">
        <f>RANK(F119,$W$19:$W$135,0)</f>
        <v>#N/A</v>
      </c>
      <c r="G120" s="698" t="e">
        <f>RANK(G119,$X$19:$X$135,0)</f>
        <v>#N/A</v>
      </c>
      <c r="H120" s="698" t="e">
        <f>RANK(H119,$Y$19:$Y$135,0)</f>
        <v>#N/A</v>
      </c>
      <c r="I120" s="698" t="e">
        <f>RANK(I119,$Z$19:$Z$135,0)</f>
        <v>#N/A</v>
      </c>
      <c r="J120" s="700" t="e">
        <f>RANK(J119,$AA$19:$AA$119,0)</f>
        <v>#N/A</v>
      </c>
      <c r="K120" s="698"/>
      <c r="L120" s="698" t="e">
        <f>RANK(L119,$AC$19:$AC$120,0)</f>
        <v>#N/A</v>
      </c>
      <c r="M120" s="698" t="e">
        <f>RANK(M119,$AD$19:$AD$135,0)</f>
        <v>#N/A</v>
      </c>
      <c r="N120" s="698"/>
      <c r="O120" s="698"/>
      <c r="P120" s="648"/>
      <c r="Q120" s="701"/>
      <c r="R120" s="696"/>
      <c r="S120" s="675">
        <f>B116</f>
        <v>63</v>
      </c>
      <c r="T120" s="287">
        <f>$A116</f>
        <v>0</v>
      </c>
      <c r="U120" s="287">
        <v>5</v>
      </c>
      <c r="V120" s="287">
        <f>$A116</f>
        <v>0</v>
      </c>
      <c r="W120" s="449"/>
      <c r="X120" s="307"/>
      <c r="Y120" s="307"/>
      <c r="Z120" s="307"/>
      <c r="AA120" s="307"/>
      <c r="AB120" s="307"/>
      <c r="AC120" s="307"/>
      <c r="AD120" s="450"/>
      <c r="AE120" s="450"/>
      <c r="AF120" s="450"/>
      <c r="AJ120" s="404">
        <v>334</v>
      </c>
      <c r="AK120" s="231"/>
      <c r="AP120" s="287"/>
      <c r="AQ120" s="287"/>
      <c r="AR120" s="287"/>
      <c r="AS120" s="287"/>
      <c r="AT120" s="287"/>
      <c r="AU120" s="287"/>
      <c r="AV120" s="287"/>
      <c r="AW120" s="287"/>
      <c r="AX120" s="287"/>
      <c r="AY120" s="287"/>
    </row>
    <row r="121" spans="1:51" s="280" customFormat="1" x14ac:dyDescent="0.35">
      <c r="A121" s="686"/>
      <c r="B121" s="523">
        <v>62</v>
      </c>
      <c r="C121" s="690" t="e">
        <f>VLOOKUP(B121,Уч!$A$2:$L$34,2,FALSE)</f>
        <v>#N/A</v>
      </c>
      <c r="D121" s="528" t="e">
        <f>VLOOKUP(B121,Уч!$A$2:$L$34,3,FALSE)</f>
        <v>#N/A</v>
      </c>
      <c r="E121" s="509" t="s">
        <v>19</v>
      </c>
      <c r="F121" s="670" t="e">
        <f>VLOOKUP($B121,'100 м 1'!$C$18:$I$87,5,FALSE)</f>
        <v>#N/A</v>
      </c>
      <c r="G121" s="670" t="e">
        <f>VLOOKUP($B121,'длина 2 '!$C$16:$O$54,11,FALSE)</f>
        <v>#N/A</v>
      </c>
      <c r="H121" s="670" t="e">
        <f>VLOOKUP($B121,'ядро 2'!$C$16:$K$60,8,FALSE)</f>
        <v>#N/A</v>
      </c>
      <c r="I121" s="670">
        <f>VLOOKUP($B121,'высота 2'!$C$16:$AF$57,29,FALSE)</f>
        <v>1.88</v>
      </c>
      <c r="J121" s="671" t="s">
        <v>337</v>
      </c>
      <c r="K121" s="670"/>
      <c r="L121" s="670"/>
      <c r="M121" s="670"/>
      <c r="N121" s="670"/>
      <c r="O121" s="523"/>
      <c r="P121" s="695"/>
      <c r="Q121" s="522"/>
      <c r="R121" s="694"/>
      <c r="S121" s="523">
        <f>B121</f>
        <v>62</v>
      </c>
      <c r="T121" s="287">
        <f>$A121</f>
        <v>0</v>
      </c>
      <c r="U121" s="287">
        <v>1</v>
      </c>
      <c r="V121" s="287">
        <f>$A121</f>
        <v>0</v>
      </c>
      <c r="W121" s="449"/>
      <c r="X121" s="307"/>
      <c r="Y121" s="307"/>
      <c r="Z121" s="307"/>
      <c r="AA121" s="307"/>
      <c r="AB121" s="307"/>
      <c r="AC121" s="307"/>
      <c r="AD121" s="450"/>
      <c r="AE121" s="450"/>
      <c r="AF121" s="450"/>
      <c r="AH121" s="280" t="e">
        <f>IF(AND(T121&gt;16,P121&gt;=6200),"1",LOOKUP(T121,Y$5:AO$5,Y$6:AO$6))</f>
        <v>#N/A</v>
      </c>
      <c r="AI121" s="280" t="e">
        <f>LOOKUP(Q121,Y$8:AD$8,Y$9:AD$9)</f>
        <v>#N/A</v>
      </c>
      <c r="AJ121" s="404">
        <v>460</v>
      </c>
      <c r="AK121" s="231"/>
    </row>
    <row r="122" spans="1:51" s="280" customFormat="1" x14ac:dyDescent="0.35">
      <c r="A122" s="686"/>
      <c r="B122" s="523"/>
      <c r="C122" s="688" t="e">
        <f>VLOOKUP(B121,Уч!$A$2:$L$34,5,FALSE)</f>
        <v>#N/A</v>
      </c>
      <c r="D122" s="528" t="e">
        <f>VLOOKUP(B121,Уч!$A$2:$L$34,4,FALSE)</f>
        <v>#N/A</v>
      </c>
      <c r="E122" s="509" t="s">
        <v>25</v>
      </c>
      <c r="F122" s="672" t="e">
        <f>VLOOKUP($B121,'100 м 1'!$C$18:$I$87,6,FALSE)</f>
        <v>#N/A</v>
      </c>
      <c r="G122" s="672" t="e">
        <f>VLOOKUP($B121,'длина 2 '!$C$16:$O$54,12,FALSE)</f>
        <v>#N/A</v>
      </c>
      <c r="H122" s="523"/>
      <c r="I122" s="672"/>
      <c r="J122" s="673"/>
      <c r="K122" s="672"/>
      <c r="L122" s="672"/>
      <c r="M122" s="672"/>
      <c r="N122" s="523"/>
      <c r="O122" s="523"/>
      <c r="P122" s="695"/>
      <c r="Q122" s="674"/>
      <c r="R122" s="694"/>
      <c r="S122" s="523">
        <f>B121</f>
        <v>62</v>
      </c>
      <c r="T122" s="287">
        <f>$A121</f>
        <v>0</v>
      </c>
      <c r="U122" s="287">
        <v>2</v>
      </c>
      <c r="V122" s="287">
        <f>$A121</f>
        <v>0</v>
      </c>
      <c r="W122" s="449"/>
      <c r="X122" s="307"/>
      <c r="Y122" s="307"/>
      <c r="Z122" s="307"/>
      <c r="AA122" s="307"/>
      <c r="AB122" s="307"/>
      <c r="AC122" s="307"/>
      <c r="AD122" s="450"/>
      <c r="AE122" s="450"/>
      <c r="AF122" s="450"/>
      <c r="AH122" s="231"/>
      <c r="AI122" s="231"/>
      <c r="AJ122" s="404">
        <v>460</v>
      </c>
      <c r="AK122" s="231"/>
    </row>
    <row r="123" spans="1:51" s="280" customFormat="1" x14ac:dyDescent="0.35">
      <c r="A123" s="686"/>
      <c r="B123" s="523"/>
      <c r="C123" s="689" t="e">
        <f>VLOOKUP(B121,Уч!$A$2:$L$34,7,FALSE)</f>
        <v>#N/A</v>
      </c>
      <c r="D123" s="528"/>
      <c r="E123" s="509" t="s">
        <v>29</v>
      </c>
      <c r="F123" s="523" t="e">
        <f>VLOOKUP($B121,'100 м 1'!$C$18:$I$87,7,FALSE)</f>
        <v>#N/A</v>
      </c>
      <c r="G123" s="523" t="e">
        <f>VLOOKUP($B121,'длина 2 '!$C$16:$O$54,13,FALSE)</f>
        <v>#N/A</v>
      </c>
      <c r="H123" s="523" t="e">
        <f>VLOOKUP($B121,'ядро 2'!$C$16:$K$60,9,FALSE)</f>
        <v>#N/A</v>
      </c>
      <c r="I123" s="523">
        <f>VLOOKUP($B121,'высота 2'!$C$16:$AF$57,30,)</f>
        <v>0</v>
      </c>
      <c r="J123" s="526"/>
      <c r="K123" s="523"/>
      <c r="L123" s="523"/>
      <c r="M123" s="523"/>
      <c r="N123" s="523"/>
      <c r="O123" s="523"/>
      <c r="P123" s="695"/>
      <c r="Q123" s="676"/>
      <c r="R123" s="695"/>
      <c r="S123" s="523">
        <f>B121</f>
        <v>62</v>
      </c>
      <c r="T123" s="287">
        <f>$A121</f>
        <v>0</v>
      </c>
      <c r="U123" s="287">
        <v>3</v>
      </c>
      <c r="V123" s="287">
        <f>$A121</f>
        <v>0</v>
      </c>
      <c r="W123" s="449"/>
      <c r="X123" s="307"/>
      <c r="Y123" s="307"/>
      <c r="Z123" s="307"/>
      <c r="AA123" s="307"/>
      <c r="AB123" s="307"/>
      <c r="AC123" s="307"/>
      <c r="AD123" s="450"/>
      <c r="AE123" s="450"/>
      <c r="AF123" s="450"/>
      <c r="AH123" s="231"/>
      <c r="AI123" s="231"/>
      <c r="AJ123" s="404">
        <v>460</v>
      </c>
      <c r="AK123" s="231"/>
    </row>
    <row r="124" spans="1:51" s="280" customFormat="1" x14ac:dyDescent="0.35">
      <c r="A124" s="686"/>
      <c r="B124" s="523"/>
      <c r="C124" s="688" t="e">
        <f>VLOOKUP(B121,Уч!$A$2:$L$34,11,FALSE)</f>
        <v>#N/A</v>
      </c>
      <c r="D124" s="528"/>
      <c r="E124" s="509" t="s">
        <v>276</v>
      </c>
      <c r="F124" s="523" t="e">
        <f>F123</f>
        <v>#N/A</v>
      </c>
      <c r="G124" s="523" t="e">
        <f>F124+G123</f>
        <v>#N/A</v>
      </c>
      <c r="H124" s="523" t="e">
        <f>G124+H123</f>
        <v>#N/A</v>
      </c>
      <c r="I124" s="523" t="e">
        <f>H124+I123</f>
        <v>#N/A</v>
      </c>
      <c r="J124" s="526"/>
      <c r="K124" s="523"/>
      <c r="L124" s="523"/>
      <c r="M124" s="523"/>
      <c r="N124" s="523"/>
      <c r="O124" s="523"/>
      <c r="P124" s="695"/>
      <c r="Q124" s="674"/>
      <c r="R124" s="695"/>
      <c r="S124" s="523">
        <f>B121</f>
        <v>62</v>
      </c>
      <c r="T124" s="287">
        <f>$A121</f>
        <v>0</v>
      </c>
      <c r="U124" s="287">
        <v>4</v>
      </c>
      <c r="V124" s="287">
        <f>$A121</f>
        <v>0</v>
      </c>
      <c r="W124" s="372" t="e">
        <f t="shared" ref="W124:AF124" si="21">F124</f>
        <v>#N/A</v>
      </c>
      <c r="X124" s="372" t="e">
        <f t="shared" si="21"/>
        <v>#N/A</v>
      </c>
      <c r="Y124" s="372" t="e">
        <f t="shared" si="21"/>
        <v>#N/A</v>
      </c>
      <c r="Z124" s="372" t="e">
        <f t="shared" si="21"/>
        <v>#N/A</v>
      </c>
      <c r="AA124" s="372">
        <f t="shared" si="21"/>
        <v>0</v>
      </c>
      <c r="AB124" s="372">
        <f t="shared" si="21"/>
        <v>0</v>
      </c>
      <c r="AC124" s="372">
        <f t="shared" si="21"/>
        <v>0</v>
      </c>
      <c r="AD124" s="372">
        <f t="shared" si="21"/>
        <v>0</v>
      </c>
      <c r="AE124" s="372">
        <f t="shared" si="21"/>
        <v>0</v>
      </c>
      <c r="AF124" s="372">
        <f t="shared" si="21"/>
        <v>0</v>
      </c>
      <c r="AH124" s="231"/>
      <c r="AI124" s="231"/>
      <c r="AJ124" s="404">
        <v>460</v>
      </c>
      <c r="AK124" s="231"/>
    </row>
    <row r="125" spans="1:51" s="280" customFormat="1" x14ac:dyDescent="0.25">
      <c r="A125" s="625"/>
      <c r="B125" s="698"/>
      <c r="C125" s="691"/>
      <c r="D125" s="699"/>
      <c r="E125" s="692" t="s">
        <v>59</v>
      </c>
      <c r="F125" s="698" t="e">
        <f>RANK(F124,$W$19:$W$135,0)</f>
        <v>#N/A</v>
      </c>
      <c r="G125" s="698" t="e">
        <f>RANK(G124,$X$19:$X$135,0)</f>
        <v>#N/A</v>
      </c>
      <c r="H125" s="698" t="e">
        <f>RANK(H124,$Y$19:$Y$135,0)</f>
        <v>#N/A</v>
      </c>
      <c r="I125" s="698" t="e">
        <f>RANK(I124,$Z$19:$Z$135,0)</f>
        <v>#N/A</v>
      </c>
      <c r="J125" s="700"/>
      <c r="K125" s="698"/>
      <c r="L125" s="698"/>
      <c r="M125" s="698"/>
      <c r="N125" s="698"/>
      <c r="O125" s="698"/>
      <c r="P125" s="648"/>
      <c r="Q125" s="701"/>
      <c r="R125" s="696"/>
      <c r="S125" s="675">
        <f>B121</f>
        <v>62</v>
      </c>
      <c r="T125" s="287">
        <f>$A121</f>
        <v>0</v>
      </c>
      <c r="U125" s="287">
        <v>5</v>
      </c>
      <c r="V125" s="287">
        <f>$A121</f>
        <v>0</v>
      </c>
      <c r="W125" s="449"/>
      <c r="X125" s="307"/>
      <c r="Y125" s="307"/>
      <c r="Z125" s="307"/>
      <c r="AA125" s="307"/>
      <c r="AB125" s="307"/>
      <c r="AC125" s="307"/>
      <c r="AD125" s="450"/>
      <c r="AE125" s="450"/>
      <c r="AF125" s="450"/>
      <c r="AJ125" s="404">
        <v>460</v>
      </c>
      <c r="AK125" s="231"/>
    </row>
    <row r="126" spans="1:51" s="280" customFormat="1" x14ac:dyDescent="0.35">
      <c r="A126" s="686"/>
      <c r="B126" s="523">
        <v>9</v>
      </c>
      <c r="C126" s="690" t="e">
        <f>VLOOKUP(B126,Уч!$A$2:$L$34,2,FALSE)</f>
        <v>#N/A</v>
      </c>
      <c r="D126" s="528" t="e">
        <f>VLOOKUP(B126,Уч!$A$2:$L$34,3,FALSE)</f>
        <v>#N/A</v>
      </c>
      <c r="E126" s="509" t="s">
        <v>19</v>
      </c>
      <c r="F126" s="670" t="e">
        <f>VLOOKUP($B126,'100 м 1'!$C$18:$I$87,5,FALSE)</f>
        <v>#N/A</v>
      </c>
      <c r="G126" s="670" t="e">
        <f>VLOOKUP($B126,'длина 2 '!$C$16:$O$54,11,FALSE)</f>
        <v>#N/A</v>
      </c>
      <c r="H126" s="670" t="e">
        <f>VLOOKUP($B126,'ядро 2'!$C$16:$K$60,8,FALSE)</f>
        <v>#N/A</v>
      </c>
      <c r="I126" s="680" t="s">
        <v>337</v>
      </c>
      <c r="J126" s="671"/>
      <c r="K126" s="670"/>
      <c r="L126" s="670"/>
      <c r="M126" s="670"/>
      <c r="N126" s="670"/>
      <c r="O126" s="523"/>
      <c r="P126" s="695"/>
      <c r="Q126" s="522"/>
      <c r="R126" s="694"/>
      <c r="S126" s="523">
        <f>B126</f>
        <v>9</v>
      </c>
      <c r="T126" s="287">
        <f>$A126</f>
        <v>0</v>
      </c>
      <c r="U126" s="287">
        <v>1</v>
      </c>
      <c r="V126" s="287">
        <f>$A126</f>
        <v>0</v>
      </c>
      <c r="W126" s="449"/>
      <c r="X126" s="307"/>
      <c r="Y126" s="307"/>
      <c r="Z126" s="307"/>
      <c r="AA126" s="307"/>
      <c r="AB126" s="307"/>
      <c r="AC126" s="307"/>
      <c r="AD126" s="450"/>
      <c r="AE126" s="450"/>
      <c r="AF126" s="450"/>
      <c r="AH126" s="280" t="e">
        <f>IF(AND(T126&gt;16,P126&gt;=6200),"1",LOOKUP(T126,Y$5:AO$5,Y$6:AO$6))</f>
        <v>#N/A</v>
      </c>
      <c r="AI126" s="280" t="e">
        <f>LOOKUP(Q126,Y$8:AD$8,Y$9:AD$9)</f>
        <v>#N/A</v>
      </c>
      <c r="AJ126" s="404">
        <v>180</v>
      </c>
      <c r="AK126" s="231"/>
    </row>
    <row r="127" spans="1:51" s="280" customFormat="1" x14ac:dyDescent="0.35">
      <c r="A127" s="686"/>
      <c r="B127" s="523"/>
      <c r="C127" s="688" t="e">
        <f>VLOOKUP(B126,Уч!$A$2:$L$34,5,FALSE)</f>
        <v>#N/A</v>
      </c>
      <c r="D127" s="528" t="e">
        <f>VLOOKUP(B126,Уч!$A$2:$L$34,4,FALSE)</f>
        <v>#N/A</v>
      </c>
      <c r="E127" s="509" t="s">
        <v>25</v>
      </c>
      <c r="F127" s="672" t="e">
        <f>VLOOKUP($B126,'100 м 1'!$C$18:$I$87,6,FALSE)</f>
        <v>#N/A</v>
      </c>
      <c r="G127" s="672" t="e">
        <f>VLOOKUP($B126,'длина 2 '!$C$16:$O$54,12,FALSE)</f>
        <v>#N/A</v>
      </c>
      <c r="H127" s="523"/>
      <c r="I127" s="681"/>
      <c r="J127" s="673"/>
      <c r="K127" s="672"/>
      <c r="L127" s="672"/>
      <c r="M127" s="672"/>
      <c r="N127" s="523"/>
      <c r="O127" s="523"/>
      <c r="P127" s="695"/>
      <c r="Q127" s="674"/>
      <c r="R127" s="694"/>
      <c r="S127" s="523">
        <f>B126</f>
        <v>9</v>
      </c>
      <c r="T127" s="287">
        <f>$A126</f>
        <v>0</v>
      </c>
      <c r="U127" s="287">
        <v>2</v>
      </c>
      <c r="V127" s="287">
        <f>$A126</f>
        <v>0</v>
      </c>
      <c r="W127" s="449"/>
      <c r="X127" s="307"/>
      <c r="Y127" s="307"/>
      <c r="Z127" s="307"/>
      <c r="AA127" s="307"/>
      <c r="AB127" s="307"/>
      <c r="AC127" s="307"/>
      <c r="AD127" s="450"/>
      <c r="AE127" s="450"/>
      <c r="AF127" s="450"/>
      <c r="AH127" s="231"/>
      <c r="AI127" s="231"/>
      <c r="AJ127" s="404">
        <v>180</v>
      </c>
      <c r="AK127" s="231"/>
    </row>
    <row r="128" spans="1:51" s="280" customFormat="1" x14ac:dyDescent="0.35">
      <c r="A128" s="686"/>
      <c r="B128" s="523"/>
      <c r="C128" s="689" t="e">
        <f>VLOOKUP(B126,Уч!$A$2:$L$34,7,FALSE)</f>
        <v>#N/A</v>
      </c>
      <c r="D128" s="528"/>
      <c r="E128" s="509" t="s">
        <v>29</v>
      </c>
      <c r="F128" s="523" t="e">
        <f>VLOOKUP($B126,'100 м 1'!$C$18:$I$87,7,FALSE)</f>
        <v>#N/A</v>
      </c>
      <c r="G128" s="523" t="e">
        <f>VLOOKUP($B126,'длина 2 '!$C$16:$O$54,13,FALSE)</f>
        <v>#N/A</v>
      </c>
      <c r="H128" s="523" t="e">
        <f>VLOOKUP($B126,'ядро 2'!$C$16:$K$60,9,FALSE)</f>
        <v>#N/A</v>
      </c>
      <c r="I128" s="682"/>
      <c r="J128" s="526"/>
      <c r="K128" s="523"/>
      <c r="L128" s="523"/>
      <c r="M128" s="523"/>
      <c r="N128" s="523"/>
      <c r="O128" s="523"/>
      <c r="P128" s="695"/>
      <c r="Q128" s="676"/>
      <c r="R128" s="695"/>
      <c r="S128" s="523">
        <f>B126</f>
        <v>9</v>
      </c>
      <c r="T128" s="287">
        <f>$A126</f>
        <v>0</v>
      </c>
      <c r="U128" s="287">
        <v>3</v>
      </c>
      <c r="V128" s="287">
        <f>$A126</f>
        <v>0</v>
      </c>
      <c r="W128" s="449"/>
      <c r="X128" s="307"/>
      <c r="Y128" s="307"/>
      <c r="Z128" s="307"/>
      <c r="AA128" s="307"/>
      <c r="AB128" s="307"/>
      <c r="AC128" s="307"/>
      <c r="AD128" s="450"/>
      <c r="AE128" s="450"/>
      <c r="AF128" s="450"/>
      <c r="AH128" s="231"/>
      <c r="AI128" s="231"/>
      <c r="AJ128" s="404">
        <v>180</v>
      </c>
      <c r="AK128" s="231"/>
    </row>
    <row r="129" spans="1:37" s="280" customFormat="1" x14ac:dyDescent="0.35">
      <c r="A129" s="686"/>
      <c r="B129" s="523"/>
      <c r="C129" s="688" t="e">
        <f>VLOOKUP(B126,Уч!$A$2:$L$34,11,FALSE)</f>
        <v>#N/A</v>
      </c>
      <c r="D129" s="528"/>
      <c r="E129" s="509" t="s">
        <v>276</v>
      </c>
      <c r="F129" s="523" t="e">
        <f>F128</f>
        <v>#N/A</v>
      </c>
      <c r="G129" s="523" t="e">
        <f>F129+G128</f>
        <v>#N/A</v>
      </c>
      <c r="H129" s="523" t="e">
        <f>G129+H128</f>
        <v>#N/A</v>
      </c>
      <c r="I129" s="682"/>
      <c r="J129" s="526"/>
      <c r="K129" s="523"/>
      <c r="L129" s="523"/>
      <c r="M129" s="523"/>
      <c r="N129" s="523"/>
      <c r="O129" s="523"/>
      <c r="P129" s="695"/>
      <c r="Q129" s="674"/>
      <c r="R129" s="695"/>
      <c r="S129" s="523">
        <f>B126</f>
        <v>9</v>
      </c>
      <c r="T129" s="287">
        <f>$A126</f>
        <v>0</v>
      </c>
      <c r="U129" s="287">
        <v>4</v>
      </c>
      <c r="V129" s="287">
        <f>$A126</f>
        <v>0</v>
      </c>
      <c r="W129" s="372" t="e">
        <f t="shared" ref="W129:AF129" si="22">F129</f>
        <v>#N/A</v>
      </c>
      <c r="X129" s="372" t="e">
        <f t="shared" si="22"/>
        <v>#N/A</v>
      </c>
      <c r="Y129" s="372" t="e">
        <f t="shared" si="22"/>
        <v>#N/A</v>
      </c>
      <c r="Z129" s="372">
        <f t="shared" si="22"/>
        <v>0</v>
      </c>
      <c r="AA129" s="372">
        <f t="shared" si="22"/>
        <v>0</v>
      </c>
      <c r="AB129" s="372">
        <f t="shared" si="22"/>
        <v>0</v>
      </c>
      <c r="AC129" s="372">
        <f t="shared" si="22"/>
        <v>0</v>
      </c>
      <c r="AD129" s="372">
        <f t="shared" si="22"/>
        <v>0</v>
      </c>
      <c r="AE129" s="372">
        <f t="shared" si="22"/>
        <v>0</v>
      </c>
      <c r="AF129" s="372">
        <f t="shared" si="22"/>
        <v>0</v>
      </c>
      <c r="AH129" s="231"/>
      <c r="AI129" s="231"/>
      <c r="AJ129" s="404">
        <v>180</v>
      </c>
      <c r="AK129" s="231"/>
    </row>
    <row r="130" spans="1:37" s="280" customFormat="1" x14ac:dyDescent="0.25">
      <c r="A130" s="625"/>
      <c r="B130" s="698"/>
      <c r="C130" s="691" t="e">
        <f>VLOOKUP(B126,Уч!$A$2:$L$34,12,FALSE)</f>
        <v>#N/A</v>
      </c>
      <c r="D130" s="699"/>
      <c r="E130" s="692" t="s">
        <v>59</v>
      </c>
      <c r="F130" s="698" t="e">
        <f>RANK(F129,$W$19:$W$135,0)</f>
        <v>#N/A</v>
      </c>
      <c r="G130" s="698" t="e">
        <f>RANK(G129,$X$19:$X$135,0)</f>
        <v>#N/A</v>
      </c>
      <c r="H130" s="698" t="e">
        <f>RANK(H129,$Y$19:$Y$135,0)</f>
        <v>#N/A</v>
      </c>
      <c r="I130" s="702"/>
      <c r="J130" s="700"/>
      <c r="K130" s="698"/>
      <c r="L130" s="698"/>
      <c r="M130" s="698"/>
      <c r="N130" s="698"/>
      <c r="O130" s="698"/>
      <c r="P130" s="648"/>
      <c r="Q130" s="701"/>
      <c r="R130" s="696"/>
      <c r="S130" s="675">
        <f>B126</f>
        <v>9</v>
      </c>
      <c r="T130" s="287">
        <f>$A126</f>
        <v>0</v>
      </c>
      <c r="U130" s="287">
        <v>5</v>
      </c>
      <c r="V130" s="287">
        <f>$A126</f>
        <v>0</v>
      </c>
      <c r="W130" s="449"/>
      <c r="X130" s="307"/>
      <c r="Y130" s="307"/>
      <c r="Z130" s="307"/>
      <c r="AA130" s="307"/>
      <c r="AB130" s="307"/>
      <c r="AC130" s="307"/>
      <c r="AD130" s="450"/>
      <c r="AE130" s="450"/>
      <c r="AF130" s="450"/>
      <c r="AJ130" s="404">
        <v>180</v>
      </c>
      <c r="AK130" s="231"/>
    </row>
    <row r="131" spans="1:37" s="280" customFormat="1" x14ac:dyDescent="0.35">
      <c r="A131" s="686"/>
      <c r="B131" s="682">
        <v>25</v>
      </c>
      <c r="C131" s="690" t="e">
        <f>VLOOKUP(B131,Уч!$A$2:$L$34,2,FALSE)</f>
        <v>#N/A</v>
      </c>
      <c r="D131" s="528" t="e">
        <f>VLOOKUP(B131,Уч!$A$2:$L$34,3,FALSE)</f>
        <v>#N/A</v>
      </c>
      <c r="E131" s="509" t="s">
        <v>19</v>
      </c>
      <c r="F131" s="670">
        <f>VLOOKUP($B131,'100 м 1'!$C$18:$I$87,5,FALSE)</f>
        <v>11.3</v>
      </c>
      <c r="G131" s="670" t="e">
        <f>VLOOKUP($B131,'длина 2 '!$C$16:$O$54,11,FALSE)</f>
        <v>#N/A</v>
      </c>
      <c r="H131" s="670" t="e">
        <f>VLOOKUP($B131,'ядро 2'!$C$16:$K$60,8,FALSE)</f>
        <v>#N/A</v>
      </c>
      <c r="I131" s="670" t="s">
        <v>337</v>
      </c>
      <c r="J131" s="671"/>
      <c r="K131" s="670"/>
      <c r="L131" s="670"/>
      <c r="M131" s="670"/>
      <c r="N131" s="670"/>
      <c r="O131" s="523"/>
      <c r="P131" s="695"/>
      <c r="Q131" s="522"/>
      <c r="R131" s="694"/>
      <c r="S131" s="523">
        <f>B131</f>
        <v>25</v>
      </c>
      <c r="T131" s="287">
        <f>$A131</f>
        <v>0</v>
      </c>
      <c r="U131" s="287">
        <v>1</v>
      </c>
      <c r="V131" s="287">
        <f>$A131</f>
        <v>0</v>
      </c>
      <c r="W131" s="449"/>
      <c r="X131" s="307"/>
      <c r="Y131" s="307"/>
      <c r="Z131" s="307"/>
      <c r="AA131" s="307"/>
      <c r="AB131" s="307"/>
      <c r="AC131" s="307"/>
      <c r="AD131" s="450"/>
      <c r="AE131" s="450"/>
      <c r="AF131" s="450"/>
      <c r="AH131" s="280" t="e">
        <f>IF(AND(T131&gt;16,P131&gt;=6200),"1",LOOKUP(T131,Y$5:AO$5,Y$6:AO$6))</f>
        <v>#N/A</v>
      </c>
      <c r="AI131" s="280" t="e">
        <f>LOOKUP(Q131,Y$8:AD$8,Y$9:AD$9)</f>
        <v>#N/A</v>
      </c>
      <c r="AJ131" s="404">
        <v>315</v>
      </c>
      <c r="AK131" s="231"/>
    </row>
    <row r="132" spans="1:37" s="280" customFormat="1" x14ac:dyDescent="0.35">
      <c r="A132" s="686"/>
      <c r="B132" s="523"/>
      <c r="C132" s="688" t="e">
        <f>VLOOKUP(B131,Уч!$A$2:$L$34,5,FALSE)</f>
        <v>#N/A</v>
      </c>
      <c r="D132" s="683" t="e">
        <f>VLOOKUP(B131,Уч!$A$2:$L$34,4,FALSE)</f>
        <v>#N/A</v>
      </c>
      <c r="E132" s="509" t="s">
        <v>25</v>
      </c>
      <c r="F132" s="672">
        <f>VLOOKUP($B131,'100 м 1'!$C$18:$I$87,6,FALSE)</f>
        <v>1</v>
      </c>
      <c r="G132" s="672" t="e">
        <f>VLOOKUP($B131,'длина 2 '!$C$16:$O$54,12,FALSE)</f>
        <v>#N/A</v>
      </c>
      <c r="H132" s="523"/>
      <c r="I132" s="672"/>
      <c r="J132" s="673"/>
      <c r="K132" s="672"/>
      <c r="L132" s="672"/>
      <c r="M132" s="672"/>
      <c r="N132" s="523"/>
      <c r="O132" s="523"/>
      <c r="P132" s="695"/>
      <c r="Q132" s="674"/>
      <c r="R132" s="694"/>
      <c r="S132" s="523">
        <f>B131</f>
        <v>25</v>
      </c>
      <c r="T132" s="287">
        <f>$A131</f>
        <v>0</v>
      </c>
      <c r="U132" s="287">
        <v>2</v>
      </c>
      <c r="V132" s="287">
        <f>$A131</f>
        <v>0</v>
      </c>
      <c r="W132" s="449"/>
      <c r="X132" s="307"/>
      <c r="Y132" s="307"/>
      <c r="Z132" s="307"/>
      <c r="AA132" s="307"/>
      <c r="AB132" s="307"/>
      <c r="AC132" s="307"/>
      <c r="AD132" s="450"/>
      <c r="AE132" s="450"/>
      <c r="AF132" s="450"/>
      <c r="AH132" s="231"/>
      <c r="AI132" s="231"/>
      <c r="AJ132" s="404">
        <v>315</v>
      </c>
      <c r="AK132" s="231"/>
    </row>
    <row r="133" spans="1:37" s="280" customFormat="1" x14ac:dyDescent="0.35">
      <c r="A133" s="686"/>
      <c r="B133" s="523"/>
      <c r="C133" s="689" t="e">
        <f>VLOOKUP(B131,Уч!$A$2:$L$34,7,FALSE)</f>
        <v>#N/A</v>
      </c>
      <c r="D133" s="528"/>
      <c r="E133" s="509" t="s">
        <v>29</v>
      </c>
      <c r="F133" s="523">
        <f>VLOOKUP($B131,'100 м 1'!$C$18:$I$87,7,FALSE)</f>
        <v>795</v>
      </c>
      <c r="G133" s="523" t="e">
        <f>VLOOKUP($B131,'длина 2 '!$C$16:$O$54,13,FALSE)</f>
        <v>#N/A</v>
      </c>
      <c r="H133" s="523" t="e">
        <f>VLOOKUP($B131,'ядро 2'!$C$16:$K$60,9,FALSE)</f>
        <v>#N/A</v>
      </c>
      <c r="I133" s="523"/>
      <c r="J133" s="526"/>
      <c r="K133" s="523"/>
      <c r="L133" s="523"/>
      <c r="M133" s="523"/>
      <c r="N133" s="523"/>
      <c r="O133" s="523"/>
      <c r="P133" s="695"/>
      <c r="Q133" s="650"/>
      <c r="R133" s="695"/>
      <c r="S133" s="523">
        <f>B131</f>
        <v>25</v>
      </c>
      <c r="T133" s="287">
        <f>$A131</f>
        <v>0</v>
      </c>
      <c r="U133" s="287">
        <v>3</v>
      </c>
      <c r="V133" s="287">
        <f>$A131</f>
        <v>0</v>
      </c>
      <c r="W133" s="449"/>
      <c r="X133" s="307"/>
      <c r="Y133" s="307"/>
      <c r="Z133" s="307"/>
      <c r="AA133" s="307"/>
      <c r="AB133" s="307"/>
      <c r="AC133" s="307"/>
      <c r="AD133" s="450"/>
      <c r="AE133" s="450"/>
      <c r="AF133" s="450"/>
      <c r="AH133" s="231"/>
      <c r="AI133" s="231"/>
      <c r="AJ133" s="404">
        <v>315</v>
      </c>
      <c r="AK133" s="231"/>
    </row>
    <row r="134" spans="1:37" s="280" customFormat="1" x14ac:dyDescent="0.35">
      <c r="A134" s="686"/>
      <c r="B134" s="523"/>
      <c r="C134" s="688" t="e">
        <f>VLOOKUP(B131,Уч!$A$2:$L$34,11,FALSE)</f>
        <v>#N/A</v>
      </c>
      <c r="D134" s="528"/>
      <c r="E134" s="509" t="s">
        <v>276</v>
      </c>
      <c r="F134" s="523">
        <f>F133</f>
        <v>795</v>
      </c>
      <c r="G134" s="523" t="e">
        <f>F134+G133</f>
        <v>#N/A</v>
      </c>
      <c r="H134" s="523" t="e">
        <f>G134+H133</f>
        <v>#N/A</v>
      </c>
      <c r="I134" s="523"/>
      <c r="J134" s="526"/>
      <c r="K134" s="523"/>
      <c r="L134" s="523"/>
      <c r="M134" s="523"/>
      <c r="N134" s="523"/>
      <c r="O134" s="523"/>
      <c r="P134" s="695"/>
      <c r="Q134" s="650"/>
      <c r="R134" s="695"/>
      <c r="S134" s="523">
        <f>B131</f>
        <v>25</v>
      </c>
      <c r="T134" s="287">
        <f>$A131</f>
        <v>0</v>
      </c>
      <c r="U134" s="287">
        <v>4</v>
      </c>
      <c r="V134" s="287">
        <f>$A131</f>
        <v>0</v>
      </c>
      <c r="W134" s="372">
        <f t="shared" ref="W134:AF134" si="23">F134</f>
        <v>795</v>
      </c>
      <c r="X134" s="372" t="e">
        <f t="shared" si="23"/>
        <v>#N/A</v>
      </c>
      <c r="Y134" s="372" t="e">
        <f t="shared" si="23"/>
        <v>#N/A</v>
      </c>
      <c r="Z134" s="372">
        <f t="shared" si="23"/>
        <v>0</v>
      </c>
      <c r="AA134" s="372">
        <f t="shared" si="23"/>
        <v>0</v>
      </c>
      <c r="AB134" s="372">
        <f t="shared" si="23"/>
        <v>0</v>
      </c>
      <c r="AC134" s="372">
        <f t="shared" si="23"/>
        <v>0</v>
      </c>
      <c r="AD134" s="372">
        <f t="shared" si="23"/>
        <v>0</v>
      </c>
      <c r="AE134" s="372">
        <f t="shared" si="23"/>
        <v>0</v>
      </c>
      <c r="AF134" s="372">
        <f t="shared" si="23"/>
        <v>0</v>
      </c>
      <c r="AH134" s="231"/>
      <c r="AI134" s="231"/>
      <c r="AJ134" s="404">
        <v>315</v>
      </c>
      <c r="AK134" s="231"/>
    </row>
    <row r="135" spans="1:37" s="280" customFormat="1" x14ac:dyDescent="0.25">
      <c r="A135" s="625"/>
      <c r="B135" s="698"/>
      <c r="C135" s="691"/>
      <c r="D135" s="699"/>
      <c r="E135" s="692" t="s">
        <v>59</v>
      </c>
      <c r="F135" s="698" t="e">
        <f>RANK(F134,$W$19:$W$135,0)</f>
        <v>#N/A</v>
      </c>
      <c r="G135" s="698" t="e">
        <f>RANK(G134,$X$19:$X$135,0)</f>
        <v>#N/A</v>
      </c>
      <c r="H135" s="698" t="e">
        <f>RANK(H134,$Y$19:$Y$135,0)</f>
        <v>#N/A</v>
      </c>
      <c r="I135" s="698"/>
      <c r="J135" s="700"/>
      <c r="K135" s="698"/>
      <c r="L135" s="698"/>
      <c r="M135" s="698"/>
      <c r="N135" s="698"/>
      <c r="O135" s="698"/>
      <c r="P135" s="648"/>
      <c r="Q135" s="701"/>
      <c r="R135" s="696"/>
      <c r="S135" s="675">
        <f>B131</f>
        <v>25</v>
      </c>
      <c r="T135" s="287">
        <f>$A131</f>
        <v>0</v>
      </c>
      <c r="U135" s="287">
        <v>5</v>
      </c>
      <c r="V135" s="287">
        <f>$A131</f>
        <v>0</v>
      </c>
      <c r="W135" s="449"/>
      <c r="X135" s="307"/>
      <c r="Y135" s="307"/>
      <c r="Z135" s="307"/>
      <c r="AA135" s="307"/>
      <c r="AB135" s="307"/>
      <c r="AC135" s="307"/>
      <c r="AD135" s="450"/>
      <c r="AE135" s="450"/>
      <c r="AF135" s="450"/>
      <c r="AH135" s="231"/>
      <c r="AI135" s="231"/>
      <c r="AJ135" s="404">
        <v>315</v>
      </c>
      <c r="AK135" s="231"/>
    </row>
    <row r="136" spans="1:37" x14ac:dyDescent="0.25">
      <c r="A136" s="576"/>
      <c r="B136" s="665"/>
      <c r="C136" s="576"/>
      <c r="D136" s="684"/>
      <c r="E136" s="576"/>
      <c r="F136" s="576"/>
      <c r="G136" s="665"/>
      <c r="H136" s="665"/>
      <c r="I136" s="576"/>
      <c r="J136" s="576"/>
      <c r="K136" s="665"/>
      <c r="L136" s="665"/>
      <c r="M136" s="665"/>
      <c r="N136" s="665"/>
      <c r="O136" s="665"/>
      <c r="P136" s="666"/>
      <c r="Q136" s="666"/>
      <c r="R136" s="666"/>
      <c r="S136" s="666"/>
    </row>
    <row r="138" spans="1:37" x14ac:dyDescent="0.25">
      <c r="B138" s="250" t="s">
        <v>339</v>
      </c>
      <c r="C138" s="576"/>
      <c r="D138" s="576"/>
      <c r="E138" s="665"/>
      <c r="F138" s="576"/>
      <c r="G138" s="665"/>
      <c r="H138" s="665"/>
      <c r="I138" s="666"/>
      <c r="J138" s="666"/>
      <c r="K138" s="666"/>
      <c r="L138" s="666"/>
      <c r="M138" s="666"/>
      <c r="N138" s="666" t="s">
        <v>340</v>
      </c>
    </row>
    <row r="139" spans="1:37" x14ac:dyDescent="0.25">
      <c r="B139" s="250"/>
      <c r="D139" s="41"/>
      <c r="E139" s="663"/>
      <c r="G139" s="663"/>
      <c r="H139" s="663"/>
      <c r="I139" s="149"/>
      <c r="J139" s="149"/>
      <c r="K139" s="149"/>
      <c r="L139" s="149"/>
      <c r="M139" s="149"/>
      <c r="N139" s="149"/>
    </row>
    <row r="140" spans="1:37" x14ac:dyDescent="0.25">
      <c r="B140" s="250" t="s">
        <v>341</v>
      </c>
      <c r="D140" s="41"/>
      <c r="E140" s="663"/>
      <c r="G140" s="663"/>
      <c r="H140" s="663"/>
      <c r="I140" s="666"/>
      <c r="J140" s="666"/>
      <c r="K140" s="666"/>
      <c r="L140" s="149"/>
      <c r="M140" s="149"/>
      <c r="N140" s="666" t="s">
        <v>342</v>
      </c>
    </row>
    <row r="145" spans="3:10" ht="15.6" x14ac:dyDescent="0.25">
      <c r="C145" s="497"/>
      <c r="D145" s="498"/>
      <c r="E145" s="497"/>
      <c r="F145" s="499"/>
      <c r="G145" s="497"/>
      <c r="H145" s="497"/>
      <c r="I145" s="497"/>
      <c r="J145" s="498"/>
    </row>
    <row r="146" spans="3:10" x14ac:dyDescent="0.25">
      <c r="D146" s="41"/>
      <c r="G146" s="41"/>
      <c r="H146" s="41"/>
    </row>
    <row r="147" spans="3:10" ht="15.6" x14ac:dyDescent="0.25">
      <c r="C147" s="497"/>
      <c r="D147" s="498"/>
      <c r="E147" s="497"/>
      <c r="F147" s="499"/>
      <c r="G147" s="497"/>
      <c r="H147" s="497"/>
      <c r="I147" s="497"/>
      <c r="J147" s="499"/>
    </row>
    <row r="148" spans="3:10" ht="15.6" x14ac:dyDescent="0.25">
      <c r="C148" s="497"/>
      <c r="D148" s="498"/>
      <c r="E148" s="497"/>
      <c r="F148" s="499"/>
      <c r="G148" s="497"/>
      <c r="H148" s="497"/>
      <c r="I148" s="497"/>
      <c r="J148" s="498"/>
    </row>
  </sheetData>
  <sortState ref="A81:AY120">
    <sortCondition ref="T81:T120"/>
  </sortState>
  <mergeCells count="7">
    <mergeCell ref="A8:B8"/>
    <mergeCell ref="A1:R1"/>
    <mergeCell ref="A2:R2"/>
    <mergeCell ref="A3:R3"/>
    <mergeCell ref="A4:R4"/>
    <mergeCell ref="A5:R5"/>
    <mergeCell ref="A6:R6"/>
  </mergeCells>
  <pageMargins left="0.7" right="0.7" top="0.75" bottom="0.75" header="0.3" footer="0.3"/>
  <pageSetup paperSize="9" scale="81" orientation="landscape" verticalDpi="4294967295" r:id="rId1"/>
  <rowBreaks count="2" manualBreakCount="2">
    <brk id="50" max="17" man="1"/>
    <brk id="140" max="17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7"/>
  <sheetViews>
    <sheetView view="pageBreakPreview" zoomScale="70" zoomScaleNormal="80" zoomScaleSheetLayoutView="70" workbookViewId="0">
      <selection activeCell="B56" sqref="B56:B58"/>
    </sheetView>
  </sheetViews>
  <sheetFormatPr defaultColWidth="9.109375" defaultRowHeight="13.2" outlineLevelCol="1" x14ac:dyDescent="0.25"/>
  <cols>
    <col min="1" max="1" width="7.88671875" style="41" customWidth="1"/>
    <col min="2" max="2" width="9.5546875" style="709" customWidth="1"/>
    <col min="3" max="3" width="46.77734375" style="41" customWidth="1"/>
    <col min="4" max="4" width="9.77734375" style="250" customWidth="1"/>
    <col min="5" max="5" width="7.21875" style="41" customWidth="1"/>
    <col min="6" max="6" width="5.77734375" style="41" customWidth="1"/>
    <col min="7" max="7" width="6.109375" style="709" customWidth="1"/>
    <col min="8" max="8" width="6.21875" style="709" customWidth="1"/>
    <col min="9" max="9" width="6.21875" style="41" customWidth="1"/>
    <col min="10" max="10" width="6.6640625" style="41" customWidth="1"/>
    <col min="11" max="11" width="9.6640625" style="709" customWidth="1" outlineLevel="1"/>
    <col min="12" max="12" width="6.109375" style="709" customWidth="1" outlineLevel="1"/>
    <col min="13" max="13" width="6.6640625" style="709" customWidth="1" outlineLevel="1"/>
    <col min="14" max="14" width="6" style="709" customWidth="1" outlineLevel="1"/>
    <col min="15" max="15" width="6.33203125" style="709" customWidth="1" outlineLevel="1"/>
    <col min="16" max="16" width="5.6640625" style="149" customWidth="1"/>
    <col min="17" max="17" width="5.21875" style="149" customWidth="1"/>
    <col min="18" max="18" width="9.44140625" style="149" customWidth="1"/>
    <col min="19" max="19" width="5.21875" style="149" bestFit="1" customWidth="1"/>
    <col min="20" max="20" width="4.109375" style="149" customWidth="1"/>
    <col min="21" max="21" width="2.109375" style="149" bestFit="1" customWidth="1"/>
    <col min="22" max="22" width="5.44140625" style="149" bestFit="1" customWidth="1"/>
    <col min="23" max="23" width="8" style="41" customWidth="1" outlineLevel="1"/>
    <col min="24" max="24" width="8.44140625" style="41" customWidth="1" outlineLevel="1"/>
    <col min="25" max="25" width="5.6640625" style="41" customWidth="1" outlineLevel="1"/>
    <col min="26" max="26" width="8" style="41" customWidth="1" outlineLevel="1"/>
    <col min="27" max="27" width="5.6640625" style="41" customWidth="1" outlineLevel="1"/>
    <col min="28" max="28" width="6" style="41" customWidth="1" outlineLevel="1"/>
    <col min="29" max="29" width="5" style="41" customWidth="1" outlineLevel="1"/>
    <col min="30" max="30" width="6" style="41" customWidth="1" outlineLevel="1"/>
    <col min="31" max="31" width="6.88671875" style="41" customWidth="1" outlineLevel="1"/>
    <col min="32" max="32" width="5.109375" style="41" customWidth="1" outlineLevel="1"/>
    <col min="33" max="33" width="5.109375" style="41" bestFit="1" customWidth="1"/>
    <col min="34" max="34" width="10.33203125" style="709" bestFit="1" customWidth="1"/>
    <col min="35" max="35" width="6.5546875" style="709" bestFit="1" customWidth="1"/>
    <col min="36" max="36" width="4.6640625" style="41" bestFit="1" customWidth="1"/>
    <col min="37" max="37" width="4.88671875" style="709" bestFit="1" customWidth="1"/>
    <col min="38" max="38" width="5.109375" style="41" bestFit="1" customWidth="1"/>
    <col min="39" max="41" width="3.109375" style="41" bestFit="1" customWidth="1"/>
    <col min="42" max="16384" width="9.109375" style="41"/>
  </cols>
  <sheetData>
    <row r="1" spans="1:50" ht="13.2" customHeight="1" x14ac:dyDescent="0.25">
      <c r="A1" s="803" t="str">
        <f>Расп!$A$21</f>
        <v>МИНИСТЕРСТВО СПОРТА РОССИЙСКОЙ ФЕДЕРАЦИИ</v>
      </c>
      <c r="B1" s="803"/>
      <c r="C1" s="803"/>
      <c r="D1" s="803"/>
      <c r="E1" s="803"/>
      <c r="F1" s="803"/>
      <c r="G1" s="803"/>
      <c r="H1" s="803"/>
      <c r="I1" s="803"/>
      <c r="J1" s="803"/>
      <c r="K1" s="803"/>
      <c r="L1" s="803"/>
      <c r="M1" s="803"/>
      <c r="N1" s="803"/>
      <c r="O1" s="803"/>
      <c r="P1" s="803"/>
      <c r="Q1" s="803"/>
      <c r="R1" s="803"/>
      <c r="W1" s="145"/>
      <c r="X1" s="250" t="s">
        <v>29</v>
      </c>
      <c r="Y1" s="419">
        <v>0</v>
      </c>
      <c r="Z1" s="419"/>
      <c r="AA1" s="419"/>
      <c r="AB1" s="419"/>
      <c r="AC1" s="320">
        <v>3800</v>
      </c>
      <c r="AD1" s="320">
        <v>4600</v>
      </c>
      <c r="AE1" s="420">
        <v>5400</v>
      </c>
      <c r="AF1" s="420">
        <v>6200</v>
      </c>
      <c r="AG1" s="320">
        <v>7100</v>
      </c>
      <c r="AH1" s="320">
        <v>8150</v>
      </c>
      <c r="AI1" s="206"/>
      <c r="AJ1" s="421" t="s">
        <v>129</v>
      </c>
      <c r="AK1" s="422" t="s">
        <v>136</v>
      </c>
      <c r="AL1" s="421">
        <v>5500</v>
      </c>
      <c r="AM1" s="206"/>
      <c r="AN1" s="206"/>
    </row>
    <row r="2" spans="1:50" ht="13.2" customHeight="1" x14ac:dyDescent="0.25">
      <c r="A2" s="803" t="str">
        <f>Расп!$A$22</f>
        <v>ВСЕРОССИЙСКАЯ ФЕДЕРАЦИЯ ЛЕГКОЙ АТЛЕТИКИ</v>
      </c>
      <c r="B2" s="803"/>
      <c r="C2" s="803"/>
      <c r="D2" s="803"/>
      <c r="E2" s="803"/>
      <c r="F2" s="803"/>
      <c r="G2" s="803"/>
      <c r="H2" s="803"/>
      <c r="I2" s="803"/>
      <c r="J2" s="803"/>
      <c r="K2" s="803"/>
      <c r="L2" s="803"/>
      <c r="M2" s="803"/>
      <c r="N2" s="803"/>
      <c r="O2" s="803"/>
      <c r="P2" s="803"/>
      <c r="Q2" s="803"/>
      <c r="R2" s="803"/>
      <c r="W2" s="145"/>
      <c r="X2" s="250" t="s">
        <v>1</v>
      </c>
      <c r="Y2" s="423" t="s">
        <v>66</v>
      </c>
      <c r="Z2" s="206" t="s">
        <v>130</v>
      </c>
      <c r="AA2" s="206" t="s">
        <v>131</v>
      </c>
      <c r="AB2" s="206" t="s">
        <v>132</v>
      </c>
      <c r="AC2" s="424">
        <v>3</v>
      </c>
      <c r="AD2" s="419">
        <v>2</v>
      </c>
      <c r="AE2" s="419">
        <v>1</v>
      </c>
      <c r="AF2" s="425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0" ht="13.2" customHeight="1" x14ac:dyDescent="0.25">
      <c r="A3" s="803" t="str">
        <f>Расп!$A$25</f>
        <v>Командный чемпионат России</v>
      </c>
      <c r="B3" s="803"/>
      <c r="C3" s="803"/>
      <c r="D3" s="803"/>
      <c r="E3" s="803"/>
      <c r="F3" s="803"/>
      <c r="G3" s="803"/>
      <c r="H3" s="803"/>
      <c r="I3" s="803"/>
      <c r="J3" s="803"/>
      <c r="K3" s="803"/>
      <c r="L3" s="803"/>
      <c r="M3" s="803"/>
      <c r="N3" s="803"/>
      <c r="O3" s="803"/>
      <c r="P3" s="803"/>
      <c r="Q3" s="803"/>
      <c r="R3" s="803"/>
      <c r="W3" s="145"/>
      <c r="X3" s="250"/>
      <c r="Y3" s="206"/>
      <c r="Z3" s="206"/>
      <c r="AA3" s="206"/>
      <c r="AB3" s="206"/>
      <c r="AD3" s="206"/>
      <c r="AE3" s="206"/>
      <c r="AF3" s="426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0" ht="13.2" customHeight="1" x14ac:dyDescent="0.25">
      <c r="A4" s="803" t="str">
        <f>Расп!$A$27</f>
        <v>по многоборью</v>
      </c>
      <c r="B4" s="803"/>
      <c r="C4" s="803"/>
      <c r="D4" s="803"/>
      <c r="E4" s="803"/>
      <c r="F4" s="803"/>
      <c r="G4" s="803"/>
      <c r="H4" s="803"/>
      <c r="I4" s="803"/>
      <c r="J4" s="803"/>
      <c r="K4" s="803"/>
      <c r="L4" s="803"/>
      <c r="M4" s="803"/>
      <c r="N4" s="803"/>
      <c r="O4" s="803"/>
      <c r="P4" s="803"/>
      <c r="Q4" s="803"/>
      <c r="R4" s="80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0" ht="13.2" customHeight="1" x14ac:dyDescent="0.3">
      <c r="A5" s="804" t="s">
        <v>263</v>
      </c>
      <c r="B5" s="804"/>
      <c r="C5" s="804"/>
      <c r="D5" s="804"/>
      <c r="E5" s="804"/>
      <c r="F5" s="804"/>
      <c r="G5" s="804"/>
      <c r="H5" s="804"/>
      <c r="I5" s="804"/>
      <c r="J5" s="804"/>
      <c r="K5" s="804"/>
      <c r="L5" s="804"/>
      <c r="M5" s="804"/>
      <c r="N5" s="804"/>
      <c r="O5" s="804"/>
      <c r="P5" s="804"/>
      <c r="Q5" s="804"/>
      <c r="R5" s="80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0" ht="13.2" customHeight="1" x14ac:dyDescent="0.25">
      <c r="A6" s="801" t="s">
        <v>118</v>
      </c>
      <c r="B6" s="801"/>
      <c r="C6" s="801"/>
      <c r="D6" s="801"/>
      <c r="E6" s="801"/>
      <c r="F6" s="801"/>
      <c r="G6" s="801"/>
      <c r="H6" s="801"/>
      <c r="I6" s="801"/>
      <c r="J6" s="801"/>
      <c r="K6" s="801"/>
      <c r="L6" s="801"/>
      <c r="M6" s="801"/>
      <c r="N6" s="801"/>
      <c r="O6" s="801"/>
      <c r="P6" s="801"/>
      <c r="Q6" s="801"/>
      <c r="R6" s="80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0" ht="13.2" customHeight="1" x14ac:dyDescent="0.25">
      <c r="C7" s="709"/>
      <c r="E7" s="147"/>
      <c r="G7" s="41"/>
      <c r="H7" s="667"/>
      <c r="I7" s="427"/>
      <c r="K7" s="503" t="str">
        <f>Расп!$A$1</f>
        <v>04.09.2019 г.</v>
      </c>
      <c r="L7" s="720" t="s">
        <v>343</v>
      </c>
      <c r="M7" s="504"/>
      <c r="N7" s="500"/>
      <c r="O7" s="501"/>
      <c r="P7" s="501"/>
      <c r="Q7" s="503" t="str">
        <f>Расп!$A$7</f>
        <v>19.05.2019 г.</v>
      </c>
      <c r="R7" s="504" t="s">
        <v>344</v>
      </c>
      <c r="S7" s="709"/>
      <c r="T7" s="709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0" ht="13.2" customHeight="1" x14ac:dyDescent="0.25">
      <c r="A8" s="802" t="s">
        <v>117</v>
      </c>
      <c r="B8" s="802"/>
      <c r="C8" s="505"/>
      <c r="E8" s="147"/>
      <c r="G8" s="41"/>
      <c r="H8" s="667"/>
      <c r="I8" s="204"/>
      <c r="J8" s="519"/>
      <c r="K8" s="206" t="str">
        <f>Расп!A2</f>
        <v>бег 100 м</v>
      </c>
      <c r="L8" s="520">
        <f>Расп!B2</f>
        <v>0.39583333333333331</v>
      </c>
      <c r="M8" s="502"/>
      <c r="N8" s="500"/>
      <c r="O8" s="501"/>
      <c r="P8" s="501"/>
      <c r="Q8" s="518" t="str">
        <f>Расп!A8</f>
        <v>бег с барьерами 110 м (1,067 м)</v>
      </c>
      <c r="R8" s="502">
        <f>Расп!B8</f>
        <v>0.41666666666666669</v>
      </c>
      <c r="S8" s="709"/>
      <c r="T8" s="709"/>
      <c r="W8" s="152" t="s">
        <v>22</v>
      </c>
      <c r="X8" s="250" t="s">
        <v>76</v>
      </c>
      <c r="Y8" s="428">
        <v>1</v>
      </c>
      <c r="Z8" s="428">
        <v>2</v>
      </c>
      <c r="AA8" s="206">
        <v>3</v>
      </c>
      <c r="AB8" s="428" t="s">
        <v>61</v>
      </c>
      <c r="AC8" s="428" t="s">
        <v>60</v>
      </c>
      <c r="AD8" s="428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0" ht="13.2" customHeight="1" x14ac:dyDescent="0.25">
      <c r="A9" s="709" t="str">
        <f>Расп!$A$14</f>
        <v>РМ</v>
      </c>
      <c r="B9" s="709">
        <v>8617</v>
      </c>
      <c r="C9" s="709"/>
      <c r="G9" s="41"/>
      <c r="H9" s="667"/>
      <c r="I9" s="204"/>
      <c r="J9" s="204"/>
      <c r="K9" s="206" t="str">
        <f>Расп!A3</f>
        <v>прыжок в длину</v>
      </c>
      <c r="L9" s="520">
        <f>Расп!B3</f>
        <v>0.42708333333333331</v>
      </c>
      <c r="M9" s="502"/>
      <c r="N9" s="500"/>
      <c r="O9" s="501"/>
      <c r="P9" s="501"/>
      <c r="Q9" s="518" t="str">
        <f>Расп!A9</f>
        <v>метание диска (2,0 кг)</v>
      </c>
      <c r="R9" s="502">
        <f>Расп!B9</f>
        <v>0.4513888888888889</v>
      </c>
      <c r="S9" s="709"/>
      <c r="T9" s="709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0" ht="13.2" customHeight="1" x14ac:dyDescent="0.3">
      <c r="A10" s="709" t="str">
        <f>Расп!$A$15</f>
        <v>РЕ</v>
      </c>
      <c r="B10" s="709">
        <v>8617</v>
      </c>
      <c r="C10" s="709"/>
      <c r="G10" s="41"/>
      <c r="H10" s="667"/>
      <c r="I10" s="204"/>
      <c r="J10" s="204"/>
      <c r="K10" s="206" t="str">
        <f>Расп!A4</f>
        <v>толкание ядра (7,26 кг)</v>
      </c>
      <c r="L10" s="520">
        <f>Расп!B4</f>
        <v>0.46875</v>
      </c>
      <c r="M10" s="502"/>
      <c r="N10" s="501"/>
      <c r="O10" s="257"/>
      <c r="P10" s="204"/>
      <c r="Q10" s="518" t="str">
        <f>Расп!A10</f>
        <v>прыжок с шестом</v>
      </c>
      <c r="R10" s="502">
        <f>Расп!B10</f>
        <v>0.52777777777777779</v>
      </c>
      <c r="W10" s="152" t="s">
        <v>24</v>
      </c>
      <c r="X10" s="320"/>
      <c r="Y10" s="320"/>
      <c r="Z10" s="320"/>
      <c r="AA10" s="320"/>
      <c r="AB10" s="320"/>
      <c r="AC10" s="320"/>
      <c r="AD10" s="430"/>
      <c r="AE10" s="430"/>
      <c r="AF10" s="430"/>
      <c r="AH10" s="320"/>
      <c r="AI10" s="431"/>
      <c r="AJ10" s="320"/>
      <c r="AK10" s="320"/>
      <c r="AL10" s="320"/>
      <c r="AM10" s="320"/>
      <c r="AN10" s="430"/>
      <c r="AR10" s="709"/>
      <c r="AS10" s="250"/>
      <c r="AT10" s="206"/>
      <c r="AU10" s="206"/>
      <c r="AV10" s="206"/>
      <c r="AW10" s="206"/>
      <c r="AX10" s="206"/>
    </row>
    <row r="11" spans="1:50" ht="13.2" customHeight="1" x14ac:dyDescent="0.3">
      <c r="A11" s="709" t="str">
        <f>Расп!$A$16</f>
        <v>РР</v>
      </c>
      <c r="B11" s="709">
        <v>8365</v>
      </c>
      <c r="C11" s="709"/>
      <c r="G11" s="41"/>
      <c r="H11" s="667"/>
      <c r="I11" s="204"/>
      <c r="J11" s="204"/>
      <c r="K11" s="206" t="str">
        <f>Расп!A5</f>
        <v>прыжок в высоту</v>
      </c>
      <c r="L11" s="520">
        <f>Расп!B5</f>
        <v>0.625</v>
      </c>
      <c r="M11" s="502"/>
      <c r="N11" s="501"/>
      <c r="O11" s="257"/>
      <c r="P11" s="204"/>
      <c r="Q11" s="518" t="str">
        <f>Расп!A11</f>
        <v>метание копья (800 г)</v>
      </c>
      <c r="R11" s="502">
        <v>0.66666666666666663</v>
      </c>
      <c r="W11" s="152"/>
      <c r="X11" s="432" t="s">
        <v>133</v>
      </c>
      <c r="Y11" s="433">
        <v>5</v>
      </c>
      <c r="Z11" s="320"/>
      <c r="AA11" s="320"/>
      <c r="AB11" s="320"/>
      <c r="AC11" s="320"/>
      <c r="AD11" s="430"/>
      <c r="AE11" s="430"/>
      <c r="AF11" s="430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0" ht="13.2" customHeight="1" x14ac:dyDescent="0.3">
      <c r="A12" s="41" t="str">
        <f>Расп!$A$26</f>
        <v>г.Сочи, Адлерский район, стадион "Юность"</v>
      </c>
      <c r="C12" s="153"/>
      <c r="H12" s="668"/>
      <c r="I12" s="204"/>
      <c r="J12" s="204"/>
      <c r="K12" s="206" t="str">
        <f>Расп!A6</f>
        <v>бег 400 м</v>
      </c>
      <c r="L12" s="520">
        <f>Расп!B6</f>
        <v>0.72916666666666663</v>
      </c>
      <c r="M12" s="502"/>
      <c r="N12" s="501"/>
      <c r="O12" s="501"/>
      <c r="P12" s="204"/>
      <c r="Q12" s="518" t="str">
        <f>Расп!A12</f>
        <v>бег 1500 м</v>
      </c>
      <c r="R12" s="502">
        <v>0.72222222222222221</v>
      </c>
      <c r="W12" s="434"/>
      <c r="X12" s="320"/>
      <c r="Y12" s="320"/>
      <c r="Z12" s="320"/>
      <c r="AA12" s="320"/>
      <c r="AB12" s="320"/>
      <c r="AC12" s="320"/>
      <c r="AD12" s="430"/>
      <c r="AE12" s="430"/>
      <c r="AF12" s="430"/>
      <c r="AH12" s="41"/>
      <c r="AI12" s="41"/>
      <c r="AK12" s="41"/>
    </row>
    <row r="13" spans="1:50" s="158" customFormat="1" ht="30.6" customHeight="1" x14ac:dyDescent="0.2">
      <c r="A13" s="506" t="s">
        <v>59</v>
      </c>
      <c r="B13" s="506" t="s">
        <v>272</v>
      </c>
      <c r="C13" s="506" t="s">
        <v>350</v>
      </c>
      <c r="D13" s="506" t="s">
        <v>274</v>
      </c>
      <c r="E13" s="435"/>
      <c r="F13" s="506" t="s">
        <v>277</v>
      </c>
      <c r="G13" s="506" t="s">
        <v>248</v>
      </c>
      <c r="H13" s="506" t="s">
        <v>269</v>
      </c>
      <c r="I13" s="506" t="s">
        <v>249</v>
      </c>
      <c r="J13" s="506" t="s">
        <v>278</v>
      </c>
      <c r="K13" s="506" t="s">
        <v>268</v>
      </c>
      <c r="L13" s="506" t="s">
        <v>270</v>
      </c>
      <c r="M13" s="506" t="s">
        <v>251</v>
      </c>
      <c r="N13" s="506" t="s">
        <v>271</v>
      </c>
      <c r="O13" s="506" t="s">
        <v>279</v>
      </c>
      <c r="P13" s="507" t="s">
        <v>29</v>
      </c>
      <c r="Q13" s="507" t="s">
        <v>1</v>
      </c>
      <c r="R13" s="508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436" t="s">
        <v>70</v>
      </c>
      <c r="AE13" s="436" t="s">
        <v>18</v>
      </c>
      <c r="AF13" s="436">
        <v>1500</v>
      </c>
      <c r="AH13" s="437" t="s">
        <v>134</v>
      </c>
      <c r="AI13" s="437" t="s">
        <v>135</v>
      </c>
      <c r="AJ13" s="158" t="s">
        <v>137</v>
      </c>
    </row>
    <row r="14" spans="1:50" s="280" customFormat="1" ht="13.2" customHeight="1" x14ac:dyDescent="0.35">
      <c r="A14" s="686">
        <v>1</v>
      </c>
      <c r="B14" s="523">
        <v>45</v>
      </c>
      <c r="C14" s="690" t="str">
        <f>VLOOKUP(B14,Уч!$A$2:$L$34,2,FALSE)</f>
        <v>Бочаринский Данила</v>
      </c>
      <c r="D14" s="528" t="str">
        <f>VLOOKUP(B14,Уч!$A$2:$L$34,3,FALSE)</f>
        <v>12.01.1999</v>
      </c>
      <c r="E14" s="509" t="s">
        <v>19</v>
      </c>
      <c r="F14" s="670">
        <f>VLOOKUP($B14,'100 м 1'!$C$18:$I$87,5,FALSE)</f>
        <v>11.53</v>
      </c>
      <c r="G14" s="670">
        <f>VLOOKUP($B14,'длина 2 '!$C$16:$O$54,11,FALSE)</f>
        <v>6.57</v>
      </c>
      <c r="H14" s="670">
        <f>VLOOKUP($B14,'ядро 2'!$C$16:$K$60,8,FALSE)</f>
        <v>13.56</v>
      </c>
      <c r="I14" s="670">
        <f>VLOOKUP($B14,'высота 2'!$C$16:$AF$57,29,FALSE)</f>
        <v>1.88</v>
      </c>
      <c r="J14" s="671">
        <f>VLOOKUP($B14,'4_р'!$C$17:$H$73,5,FALSE)</f>
        <v>49.43</v>
      </c>
      <c r="K14" s="670">
        <f>VLOOKUP($B14,'1cб_р'!$C$17:$I$67,5,FALSE)</f>
        <v>16.09</v>
      </c>
      <c r="L14" s="670">
        <f>VLOOKUP($B14,Дс_р!$C$16:$K$70,8,FALSE)</f>
        <v>35.54</v>
      </c>
      <c r="M14" s="670">
        <f>VLOOKUP($B14,Ш_р!$C$15:$AF$69,29,FALSE)</f>
        <v>4</v>
      </c>
      <c r="N14" s="670">
        <f>VLOOKUP($B14,К_р!$C$15:$K$68,8,FALSE)</f>
        <v>46.9</v>
      </c>
      <c r="O14" s="523" t="str">
        <f>VLOOKUP($B14,'15_р'!$C$17:$H$86,5,FALSE)</f>
        <v>4:17.35</v>
      </c>
      <c r="P14" s="695">
        <f>SUM(F16:O16)</f>
        <v>5576</v>
      </c>
      <c r="Q14" s="522">
        <f>LOOKUP(P14,Y$1:AH$1,Y$2:AH$2)</f>
        <v>1</v>
      </c>
      <c r="R14" s="694">
        <f>AH14+AI14+5</f>
        <v>25</v>
      </c>
      <c r="S14" s="523">
        <f>B14</f>
        <v>45</v>
      </c>
      <c r="T14" s="287">
        <f>$A14</f>
        <v>1</v>
      </c>
      <c r="U14" s="287">
        <v>1</v>
      </c>
      <c r="V14" s="287">
        <f>$A14</f>
        <v>1</v>
      </c>
      <c r="W14" s="449"/>
      <c r="X14" s="307"/>
      <c r="Y14" s="307"/>
      <c r="Z14" s="307"/>
      <c r="AA14" s="307"/>
      <c r="AB14" s="307"/>
      <c r="AC14" s="307"/>
      <c r="AD14" s="450"/>
      <c r="AE14" s="450"/>
      <c r="AF14" s="450"/>
      <c r="AH14" s="280">
        <f>IF(AND(T14&gt;16,P14&gt;=6200),"1",LOOKUP(T14,Y$5:AO$5,Y$6:AO$6))</f>
        <v>20</v>
      </c>
      <c r="AI14" s="280">
        <f>LOOKUP(Q14,Y$8:AD$8,Y$9:AD$9)</f>
        <v>0</v>
      </c>
      <c r="AJ14" s="404">
        <v>54</v>
      </c>
      <c r="AK14" s="231"/>
    </row>
    <row r="15" spans="1:50" s="280" customFormat="1" ht="13.2" customHeight="1" x14ac:dyDescent="0.35">
      <c r="A15" s="686"/>
      <c r="B15" s="523"/>
      <c r="C15" s="723" t="str">
        <f>VLOOKUP(B14,Уч!$A$2:$L$34,5,FALSE)</f>
        <v xml:space="preserve">Кемеровская область  </v>
      </c>
      <c r="D15" s="528" t="str">
        <f>VLOOKUP(B14,Уч!$A$2:$L$34,4,FALSE)</f>
        <v>КМС</v>
      </c>
      <c r="E15" s="509" t="s">
        <v>25</v>
      </c>
      <c r="F15" s="672">
        <f>VLOOKUP($B14,'100 м 1'!$C$18:$I$87,6,FALSE)</f>
        <v>0.8</v>
      </c>
      <c r="G15" s="672">
        <f>VLOOKUP($B14,'длина 2 '!$C$16:$O$54,12,FALSE)</f>
        <v>-1.2</v>
      </c>
      <c r="H15" s="523"/>
      <c r="I15" s="672"/>
      <c r="J15" s="673"/>
      <c r="K15" s="672">
        <f>VLOOKUP($B14,'1cб_р'!$C$17:$I$67,6,FALSE)</f>
        <v>-1</v>
      </c>
      <c r="L15" s="672"/>
      <c r="M15" s="672"/>
      <c r="N15" s="523"/>
      <c r="O15" s="523"/>
      <c r="P15" s="695"/>
      <c r="Q15" s="674"/>
      <c r="R15" s="694" t="str">
        <f>CONCATENATE(AH14,"+",AI14,"+",5)</f>
        <v>20+0+5</v>
      </c>
      <c r="S15" s="523">
        <f>B14</f>
        <v>45</v>
      </c>
      <c r="T15" s="287">
        <f>$A14</f>
        <v>1</v>
      </c>
      <c r="U15" s="287">
        <v>2</v>
      </c>
      <c r="V15" s="287">
        <f>$A14</f>
        <v>1</v>
      </c>
      <c r="W15" s="449"/>
      <c r="X15" s="307"/>
      <c r="Y15" s="307"/>
      <c r="Z15" s="307"/>
      <c r="AA15" s="307"/>
      <c r="AB15" s="307"/>
      <c r="AC15" s="307"/>
      <c r="AD15" s="450"/>
      <c r="AE15" s="450"/>
      <c r="AF15" s="450"/>
      <c r="AH15" s="231"/>
      <c r="AI15" s="231"/>
      <c r="AJ15" s="404">
        <v>54</v>
      </c>
      <c r="AK15" s="231"/>
    </row>
    <row r="16" spans="1:50" s="280" customFormat="1" ht="13.2" customHeight="1" x14ac:dyDescent="0.35">
      <c r="A16" s="686"/>
      <c r="B16" s="523"/>
      <c r="C16" s="724" t="str">
        <f>VLOOKUP(B14,Уч!$A$2:$L$34,7,FALSE)</f>
        <v>МАФСУ "СШ №7"</v>
      </c>
      <c r="D16" s="528"/>
      <c r="E16" s="509" t="s">
        <v>29</v>
      </c>
      <c r="F16" s="523">
        <f>VLOOKUP($B14,'100 м 1'!$C$18:$I$87,7,FALSE)</f>
        <v>746</v>
      </c>
      <c r="G16" s="523">
        <f>VLOOKUP($B14,'длина 2 '!$C$16:$O$54,13,FALSE)</f>
        <v>0</v>
      </c>
      <c r="H16" s="523">
        <f>VLOOKUP($B14,'ядро 2'!$C$16:$K$60,9,FALSE)</f>
        <v>701</v>
      </c>
      <c r="I16" s="523">
        <f>VLOOKUP($B14,'высота 2'!$C$16:$AF$57,30,)</f>
        <v>0</v>
      </c>
      <c r="J16" s="526">
        <f>VLOOKUP($B14,'4_р'!$C$17:$H$73,6,FALSE)</f>
        <v>841</v>
      </c>
      <c r="K16" s="523">
        <f>VLOOKUP($B14,'1cб_р'!$C$17:$I$67,7,FALSE)</f>
        <v>723</v>
      </c>
      <c r="L16" s="523">
        <f>VLOOKUP($B14,Дс_р!$C$16:$K$70,9,FALSE)</f>
        <v>575</v>
      </c>
      <c r="M16" s="523">
        <f>VLOOKUP($B14,Ш_р!$C$15:$AF$69,30,FALSE)</f>
        <v>617</v>
      </c>
      <c r="N16" s="523">
        <f>VLOOKUP($B14,К_р!$C$15:$K$68,9,FALSE)</f>
        <v>543</v>
      </c>
      <c r="O16" s="523">
        <f>VLOOKUP($B14,'15_р'!$C$17:$H$86,6,FALSE)</f>
        <v>830</v>
      </c>
      <c r="P16" s="695"/>
      <c r="Q16" s="650"/>
      <c r="R16" s="695"/>
      <c r="S16" s="523">
        <f>B14</f>
        <v>45</v>
      </c>
      <c r="T16" s="287">
        <f>$A14</f>
        <v>1</v>
      </c>
      <c r="U16" s="287">
        <v>3</v>
      </c>
      <c r="V16" s="287">
        <f>$A14</f>
        <v>1</v>
      </c>
      <c r="W16" s="449"/>
      <c r="X16" s="307"/>
      <c r="Y16" s="307"/>
      <c r="Z16" s="307"/>
      <c r="AA16" s="307"/>
      <c r="AB16" s="307"/>
      <c r="AC16" s="307"/>
      <c r="AD16" s="450"/>
      <c r="AE16" s="450"/>
      <c r="AF16" s="450"/>
      <c r="AH16" s="231"/>
      <c r="AI16" s="231"/>
      <c r="AJ16" s="404">
        <v>54</v>
      </c>
      <c r="AK16" s="231"/>
    </row>
    <row r="17" spans="1:37" s="280" customFormat="1" ht="13.2" customHeight="1" x14ac:dyDescent="0.35">
      <c r="A17" s="686"/>
      <c r="B17" s="523"/>
      <c r="C17" s="723" t="str">
        <f>VLOOKUP(B14,Уч!$A$2:$L$34,11,FALSE)</f>
        <v>Чернявская Ю.В., Быков И.С., Ляпин И.М.</v>
      </c>
      <c r="D17" s="528"/>
      <c r="E17" s="509" t="s">
        <v>276</v>
      </c>
      <c r="F17" s="523">
        <f>F16</f>
        <v>746</v>
      </c>
      <c r="G17" s="523">
        <f>F17+G16</f>
        <v>746</v>
      </c>
      <c r="H17" s="523">
        <f>G17+H16</f>
        <v>1447</v>
      </c>
      <c r="I17" s="523">
        <f>H17+I16</f>
        <v>1447</v>
      </c>
      <c r="J17" s="526">
        <f>SUM($F16:J16)</f>
        <v>2288</v>
      </c>
      <c r="K17" s="523">
        <f>SUM($F16:$K16)</f>
        <v>3011</v>
      </c>
      <c r="L17" s="523">
        <f>K17+L16</f>
        <v>3586</v>
      </c>
      <c r="M17" s="523">
        <f>L17+M16</f>
        <v>4203</v>
      </c>
      <c r="N17" s="523">
        <f>SUM($F16:$N16)</f>
        <v>4746</v>
      </c>
      <c r="O17" s="523">
        <f>SUM($F16:$O16)</f>
        <v>5576</v>
      </c>
      <c r="P17" s="695"/>
      <c r="Q17" s="650"/>
      <c r="R17" s="695"/>
      <c r="S17" s="523">
        <f>B14</f>
        <v>45</v>
      </c>
      <c r="T17" s="287">
        <f>$A14</f>
        <v>1</v>
      </c>
      <c r="U17" s="287">
        <v>4</v>
      </c>
      <c r="V17" s="287">
        <f>$A14</f>
        <v>1</v>
      </c>
      <c r="W17" s="372">
        <f t="shared" ref="W17:AF17" si="0">F17</f>
        <v>746</v>
      </c>
      <c r="X17" s="372">
        <f t="shared" si="0"/>
        <v>746</v>
      </c>
      <c r="Y17" s="372">
        <f t="shared" si="0"/>
        <v>1447</v>
      </c>
      <c r="Z17" s="372">
        <f t="shared" si="0"/>
        <v>1447</v>
      </c>
      <c r="AA17" s="372">
        <f t="shared" si="0"/>
        <v>2288</v>
      </c>
      <c r="AB17" s="372">
        <f t="shared" si="0"/>
        <v>3011</v>
      </c>
      <c r="AC17" s="372">
        <f t="shared" si="0"/>
        <v>3586</v>
      </c>
      <c r="AD17" s="372">
        <f t="shared" si="0"/>
        <v>4203</v>
      </c>
      <c r="AE17" s="372">
        <f t="shared" si="0"/>
        <v>4746</v>
      </c>
      <c r="AF17" s="372">
        <f t="shared" si="0"/>
        <v>5576</v>
      </c>
      <c r="AH17" s="231"/>
      <c r="AI17" s="231"/>
      <c r="AJ17" s="404">
        <v>54</v>
      </c>
      <c r="AK17" s="231"/>
    </row>
    <row r="18" spans="1:37" s="280" customFormat="1" ht="13.2" customHeight="1" x14ac:dyDescent="0.25">
      <c r="A18" s="625"/>
      <c r="B18" s="698"/>
      <c r="C18" s="691"/>
      <c r="D18" s="699"/>
      <c r="E18" s="692" t="s">
        <v>59</v>
      </c>
      <c r="F18" s="698" t="e">
        <f>RANK(F17,$W$14:$W$68,0)</f>
        <v>#N/A</v>
      </c>
      <c r="G18" s="698" t="e">
        <f>RANK(G17,$X$14:$X$68,0)</f>
        <v>#N/A</v>
      </c>
      <c r="H18" s="698" t="e">
        <f>RANK(H17,$Y$14:$Y$68,0)</f>
        <v>#N/A</v>
      </c>
      <c r="I18" s="698" t="e">
        <f>RANK(I17,$Z$14:$Z$68,0)</f>
        <v>#N/A</v>
      </c>
      <c r="J18" s="700" t="e">
        <f>RANK(J17,$AA$14:$AA$68,0)</f>
        <v>#N/A</v>
      </c>
      <c r="K18" s="698" t="e">
        <f>RANK(K17,$AB$14:$AB$68,0)</f>
        <v>#N/A</v>
      </c>
      <c r="L18" s="698" t="e">
        <f>RANK(L17,$AC$14:$AC$68,0)</f>
        <v>#N/A</v>
      </c>
      <c r="M18" s="698" t="e">
        <f>RANK(M17,$AD$14:$AD$68,0)</f>
        <v>#N/A</v>
      </c>
      <c r="N18" s="698" t="e">
        <f>RANK(N17,$AE$14:$AE$68,0)</f>
        <v>#N/A</v>
      </c>
      <c r="O18" s="698" t="e">
        <f>RANK(O17,$AF$14:$AF$68,0)</f>
        <v>#N/A</v>
      </c>
      <c r="P18" s="648"/>
      <c r="Q18" s="701"/>
      <c r="R18" s="696"/>
      <c r="S18" s="675">
        <f>B14</f>
        <v>45</v>
      </c>
      <c r="T18" s="287">
        <f>$A14</f>
        <v>1</v>
      </c>
      <c r="U18" s="287">
        <v>5</v>
      </c>
      <c r="V18" s="287">
        <f>$A14</f>
        <v>1</v>
      </c>
      <c r="W18" s="449"/>
      <c r="X18" s="307"/>
      <c r="Y18" s="307"/>
      <c r="Z18" s="307"/>
      <c r="AA18" s="307"/>
      <c r="AB18" s="307"/>
      <c r="AC18" s="307"/>
      <c r="AD18" s="450"/>
      <c r="AE18" s="450"/>
      <c r="AF18" s="450"/>
      <c r="AH18" s="231"/>
      <c r="AI18" s="231"/>
      <c r="AJ18" s="404">
        <v>54</v>
      </c>
      <c r="AK18" s="231"/>
    </row>
    <row r="19" spans="1:37" s="280" customFormat="1" ht="13.2" customHeight="1" x14ac:dyDescent="0.35">
      <c r="A19" s="686">
        <v>2</v>
      </c>
      <c r="B19" s="523">
        <v>80</v>
      </c>
      <c r="C19" s="690" t="e">
        <f>VLOOKUP(B19,Уч!$A$2:$L$34,2,FALSE)</f>
        <v>#N/A</v>
      </c>
      <c r="D19" s="528" t="e">
        <f>VLOOKUP(B19,Уч!$A$2:$L$34,3,FALSE)</f>
        <v>#N/A</v>
      </c>
      <c r="E19" s="509" t="s">
        <v>19</v>
      </c>
      <c r="F19" s="670" t="e">
        <f>VLOOKUP($B19,'100 м 1'!$C$18:$I$87,5,FALSE)</f>
        <v>#N/A</v>
      </c>
      <c r="G19" s="670" t="e">
        <f>VLOOKUP($B19,'длина 2 '!$C$16:$O$54,11,FALSE)</f>
        <v>#N/A</v>
      </c>
      <c r="H19" s="670" t="e">
        <f>VLOOKUP($B19,'ядро 2'!$C$16:$K$60,8,FALSE)</f>
        <v>#N/A</v>
      </c>
      <c r="I19" s="670" t="e">
        <f>VLOOKUP($B19,'высота 2'!$C$16:$AF$57,29,FALSE)</f>
        <v>#N/A</v>
      </c>
      <c r="J19" s="671">
        <f>VLOOKUP($B19,'4_р'!$C$17:$H$73,5,FALSE)</f>
        <v>49.49</v>
      </c>
      <c r="K19" s="670">
        <f>VLOOKUP($B19,'1cб_р'!$C$17:$I$67,5,FALSE)</f>
        <v>15.17</v>
      </c>
      <c r="L19" s="670">
        <f>VLOOKUP($B19,Дс_р!$C$16:$K$70,8,FALSE)</f>
        <v>34.909999999999997</v>
      </c>
      <c r="M19" s="670">
        <f>VLOOKUP($B19,Ш_р!$C$15:$AF$69,29,FALSE)</f>
        <v>3.9</v>
      </c>
      <c r="N19" s="670">
        <f>VLOOKUP($B19,К_р!$C$15:$K$68,8,FALSE)</f>
        <v>37.9</v>
      </c>
      <c r="O19" s="523" t="str">
        <f>VLOOKUP($B19,'15_р'!$C$17:$H$86,5,FALSE)</f>
        <v>4:15.84</v>
      </c>
      <c r="P19" s="695" t="e">
        <f>SUM(F21:O21)</f>
        <v>#N/A</v>
      </c>
      <c r="Q19" s="522" t="e">
        <f>LOOKUP(P19,Y$1:AH$1,Y$2:AH$2)</f>
        <v>#N/A</v>
      </c>
      <c r="R19" s="694" t="e">
        <f>AH19+AI19+5</f>
        <v>#N/A</v>
      </c>
      <c r="S19" s="523">
        <f>B19</f>
        <v>80</v>
      </c>
      <c r="T19" s="287">
        <f>$A19</f>
        <v>2</v>
      </c>
      <c r="U19" s="287">
        <v>1</v>
      </c>
      <c r="V19" s="287">
        <f>$A19</f>
        <v>2</v>
      </c>
      <c r="W19" s="449"/>
      <c r="X19" s="307"/>
      <c r="Y19" s="307"/>
      <c r="Z19" s="307"/>
      <c r="AA19" s="307"/>
      <c r="AB19" s="307"/>
      <c r="AC19" s="307"/>
      <c r="AD19" s="450"/>
      <c r="AE19" s="450"/>
      <c r="AF19" s="450"/>
      <c r="AH19" s="280" t="e">
        <f>IF(AND(T19&gt;16,P19&gt;=6200),"1",LOOKUP(T19,Y$5:AO$5,Y$6:AO$6))</f>
        <v>#N/A</v>
      </c>
      <c r="AI19" s="280" t="e">
        <f>LOOKUP(Q19,Y$8:AD$8,Y$9:AD$9)</f>
        <v>#N/A</v>
      </c>
      <c r="AJ19" s="404">
        <v>459</v>
      </c>
      <c r="AK19" s="231"/>
    </row>
    <row r="20" spans="1:37" s="280" customFormat="1" ht="13.2" customHeight="1" x14ac:dyDescent="0.35">
      <c r="A20" s="686"/>
      <c r="B20" s="523"/>
      <c r="C20" s="723" t="e">
        <f>VLOOKUP(B19,Уч!$A$2:$L$34,5,FALSE)</f>
        <v>#N/A</v>
      </c>
      <c r="D20" s="525" t="e">
        <f>VLOOKUP(B19,Уч!$A$2:$L$34,4,FALSE)</f>
        <v>#N/A</v>
      </c>
      <c r="E20" s="509" t="s">
        <v>25</v>
      </c>
      <c r="F20" s="672" t="e">
        <f>VLOOKUP($B19,'100 м 1'!$C$18:$I$87,6,FALSE)</f>
        <v>#N/A</v>
      </c>
      <c r="G20" s="672" t="e">
        <f>VLOOKUP($B19,'длина 2 '!$C$16:$O$54,12,FALSE)</f>
        <v>#N/A</v>
      </c>
      <c r="H20" s="523"/>
      <c r="I20" s="672"/>
      <c r="J20" s="673"/>
      <c r="K20" s="672">
        <f>VLOOKUP($B19,'1cб_р'!$C$17:$I$67,6,FALSE)</f>
        <v>-1.5</v>
      </c>
      <c r="L20" s="672"/>
      <c r="M20" s="672"/>
      <c r="N20" s="523"/>
      <c r="O20" s="523"/>
      <c r="P20" s="695"/>
      <c r="Q20" s="674"/>
      <c r="R20" s="694" t="e">
        <f>CONCATENATE(AH19,"+",AI19,"+",5)</f>
        <v>#N/A</v>
      </c>
      <c r="S20" s="523">
        <f>B19</f>
        <v>80</v>
      </c>
      <c r="T20" s="287">
        <f>$A19</f>
        <v>2</v>
      </c>
      <c r="U20" s="287">
        <v>2</v>
      </c>
      <c r="V20" s="287">
        <f>$A19</f>
        <v>2</v>
      </c>
      <c r="W20" s="449"/>
      <c r="X20" s="307"/>
      <c r="Y20" s="307"/>
      <c r="Z20" s="307"/>
      <c r="AA20" s="307"/>
      <c r="AB20" s="307"/>
      <c r="AC20" s="307"/>
      <c r="AD20" s="450"/>
      <c r="AE20" s="450"/>
      <c r="AF20" s="450"/>
      <c r="AH20" s="231"/>
      <c r="AI20" s="231"/>
      <c r="AJ20" s="404">
        <v>459</v>
      </c>
      <c r="AK20" s="231"/>
    </row>
    <row r="21" spans="1:37" s="280" customFormat="1" ht="13.2" customHeight="1" x14ac:dyDescent="0.35">
      <c r="A21" s="686"/>
      <c r="B21" s="523"/>
      <c r="C21" s="724" t="e">
        <f>VLOOKUP(B19,Уч!$A$2:$L$34,7,FALSE)</f>
        <v>#N/A</v>
      </c>
      <c r="D21" s="525"/>
      <c r="E21" s="509" t="s">
        <v>29</v>
      </c>
      <c r="F21" s="523" t="e">
        <f>VLOOKUP($B19,'100 м 1'!$C$18:$I$87,7,FALSE)</f>
        <v>#N/A</v>
      </c>
      <c r="G21" s="523" t="e">
        <f>VLOOKUP($B19,'длина 2 '!$C$16:$O$54,13,FALSE)</f>
        <v>#N/A</v>
      </c>
      <c r="H21" s="523" t="e">
        <f>VLOOKUP($B19,'ядро 2'!$C$16:$K$60,9,FALSE)</f>
        <v>#N/A</v>
      </c>
      <c r="I21" s="523" t="e">
        <f>VLOOKUP($B19,'высота 2'!$C$16:$AF$57,30,)</f>
        <v>#N/A</v>
      </c>
      <c r="J21" s="526">
        <f>VLOOKUP($B19,'4_р'!$C$17:$H$73,6,FALSE)</f>
        <v>838</v>
      </c>
      <c r="K21" s="523">
        <f>VLOOKUP($B19,'1cб_р'!$C$17:$I$67,7,FALSE)</f>
        <v>829</v>
      </c>
      <c r="L21" s="523">
        <f>VLOOKUP($B19,Дс_р!$C$16:$K$70,9,FALSE)</f>
        <v>562</v>
      </c>
      <c r="M21" s="523">
        <f>VLOOKUP($B19,Ш_р!$C$15:$AF$69,30,FALSE)</f>
        <v>590</v>
      </c>
      <c r="N21" s="523">
        <f>VLOOKUP($B19,К_р!$C$15:$K$68,9,FALSE)</f>
        <v>412</v>
      </c>
      <c r="O21" s="523">
        <f>VLOOKUP($B19,'15_р'!$C$17:$H$86,6,FALSE)</f>
        <v>840</v>
      </c>
      <c r="P21" s="695"/>
      <c r="Q21" s="676"/>
      <c r="R21" s="695"/>
      <c r="S21" s="523">
        <f>B19</f>
        <v>80</v>
      </c>
      <c r="T21" s="287">
        <f>$A19</f>
        <v>2</v>
      </c>
      <c r="U21" s="287">
        <v>3</v>
      </c>
      <c r="V21" s="287">
        <f>$A19</f>
        <v>2</v>
      </c>
      <c r="W21" s="449"/>
      <c r="X21" s="307"/>
      <c r="Y21" s="307"/>
      <c r="Z21" s="307"/>
      <c r="AA21" s="307"/>
      <c r="AB21" s="307"/>
      <c r="AC21" s="307"/>
      <c r="AD21" s="450"/>
      <c r="AE21" s="450"/>
      <c r="AF21" s="450"/>
      <c r="AH21" s="231"/>
      <c r="AI21" s="231"/>
      <c r="AJ21" s="404">
        <v>459</v>
      </c>
      <c r="AK21" s="231"/>
    </row>
    <row r="22" spans="1:37" s="280" customFormat="1" ht="13.2" customHeight="1" x14ac:dyDescent="0.35">
      <c r="A22" s="686"/>
      <c r="B22" s="523"/>
      <c r="C22" s="723" t="e">
        <f>VLOOKUP(B19,Уч!$A$2:$L$34,11,FALSE)</f>
        <v>#N/A</v>
      </c>
      <c r="D22" s="525"/>
      <c r="E22" s="509" t="s">
        <v>276</v>
      </c>
      <c r="F22" s="523" t="e">
        <f>F21</f>
        <v>#N/A</v>
      </c>
      <c r="G22" s="523" t="e">
        <f>F22+G21</f>
        <v>#N/A</v>
      </c>
      <c r="H22" s="523" t="e">
        <f>G22+H21</f>
        <v>#N/A</v>
      </c>
      <c r="I22" s="523" t="e">
        <f>H22+I21</f>
        <v>#N/A</v>
      </c>
      <c r="J22" s="526" t="e">
        <f>SUM($F21:J21)</f>
        <v>#N/A</v>
      </c>
      <c r="K22" s="523" t="e">
        <f>SUM($F21:$K21)</f>
        <v>#N/A</v>
      </c>
      <c r="L22" s="523" t="e">
        <f>K22+L21</f>
        <v>#N/A</v>
      </c>
      <c r="M22" s="523" t="e">
        <f>L22+M21</f>
        <v>#N/A</v>
      </c>
      <c r="N22" s="523" t="e">
        <f>SUM($F21:$N21)</f>
        <v>#N/A</v>
      </c>
      <c r="O22" s="523" t="e">
        <f>SUM($F21:$O21)</f>
        <v>#N/A</v>
      </c>
      <c r="P22" s="695"/>
      <c r="Q22" s="674"/>
      <c r="R22" s="695"/>
      <c r="S22" s="523">
        <f>B19</f>
        <v>80</v>
      </c>
      <c r="T22" s="287">
        <f>$A19</f>
        <v>2</v>
      </c>
      <c r="U22" s="287">
        <v>4</v>
      </c>
      <c r="V22" s="287">
        <f>$A19</f>
        <v>2</v>
      </c>
      <c r="W22" s="372" t="e">
        <f t="shared" ref="W22:AF22" si="1">F22</f>
        <v>#N/A</v>
      </c>
      <c r="X22" s="372" t="e">
        <f t="shared" si="1"/>
        <v>#N/A</v>
      </c>
      <c r="Y22" s="372" t="e">
        <f t="shared" si="1"/>
        <v>#N/A</v>
      </c>
      <c r="Z22" s="372" t="e">
        <f t="shared" si="1"/>
        <v>#N/A</v>
      </c>
      <c r="AA22" s="372" t="e">
        <f t="shared" si="1"/>
        <v>#N/A</v>
      </c>
      <c r="AB22" s="372" t="e">
        <f t="shared" si="1"/>
        <v>#N/A</v>
      </c>
      <c r="AC22" s="372" t="e">
        <f t="shared" si="1"/>
        <v>#N/A</v>
      </c>
      <c r="AD22" s="372" t="e">
        <f t="shared" si="1"/>
        <v>#N/A</v>
      </c>
      <c r="AE22" s="372" t="e">
        <f t="shared" si="1"/>
        <v>#N/A</v>
      </c>
      <c r="AF22" s="372" t="e">
        <f t="shared" si="1"/>
        <v>#N/A</v>
      </c>
      <c r="AH22" s="231"/>
      <c r="AI22" s="231"/>
      <c r="AJ22" s="404">
        <v>459</v>
      </c>
      <c r="AK22" s="231"/>
    </row>
    <row r="23" spans="1:37" s="280" customFormat="1" ht="13.2" customHeight="1" x14ac:dyDescent="0.25">
      <c r="A23" s="625"/>
      <c r="B23" s="698"/>
      <c r="C23" s="691"/>
      <c r="D23" s="703"/>
      <c r="E23" s="692" t="s">
        <v>59</v>
      </c>
      <c r="F23" s="698" t="e">
        <f>RANK(F22,$W$14:$W$68,0)</f>
        <v>#N/A</v>
      </c>
      <c r="G23" s="698" t="e">
        <f>RANK(G22,$X$14:$X$68,0)</f>
        <v>#N/A</v>
      </c>
      <c r="H23" s="698" t="e">
        <f>RANK(H22,$Y$14:$Y$68,0)</f>
        <v>#N/A</v>
      </c>
      <c r="I23" s="698" t="e">
        <f>RANK(I22,$Z$14:$Z$68,0)</f>
        <v>#N/A</v>
      </c>
      <c r="J23" s="700" t="e">
        <f>RANK(J22,$AA$14:$AA$68,0)</f>
        <v>#N/A</v>
      </c>
      <c r="K23" s="698" t="e">
        <f>RANK(K22,$AB$14:$AB$68,0)</f>
        <v>#N/A</v>
      </c>
      <c r="L23" s="698" t="e">
        <f>RANK(L22,$AC$14:$AC$68,0)</f>
        <v>#N/A</v>
      </c>
      <c r="M23" s="698" t="e">
        <f>RANK(M22,$AD$14:$AD$68,0)</f>
        <v>#N/A</v>
      </c>
      <c r="N23" s="698" t="e">
        <f>RANK(N22,$AE$14:$AE$68,0)</f>
        <v>#N/A</v>
      </c>
      <c r="O23" s="698" t="e">
        <f>RANK(O22,$AF$14:$AF$68,0)</f>
        <v>#N/A</v>
      </c>
      <c r="P23" s="648"/>
      <c r="Q23" s="701"/>
      <c r="R23" s="696"/>
      <c r="S23" s="675">
        <f>B19</f>
        <v>80</v>
      </c>
      <c r="T23" s="287">
        <f>$A19</f>
        <v>2</v>
      </c>
      <c r="U23" s="287">
        <v>5</v>
      </c>
      <c r="V23" s="287">
        <f>$A19</f>
        <v>2</v>
      </c>
      <c r="W23" s="449"/>
      <c r="X23" s="307"/>
      <c r="Y23" s="307"/>
      <c r="Z23" s="307"/>
      <c r="AA23" s="307"/>
      <c r="AB23" s="307"/>
      <c r="AC23" s="307"/>
      <c r="AD23" s="450"/>
      <c r="AE23" s="450"/>
      <c r="AF23" s="450"/>
      <c r="AH23" s="231"/>
      <c r="AI23" s="231"/>
      <c r="AJ23" s="404">
        <v>459</v>
      </c>
      <c r="AK23" s="231"/>
    </row>
    <row r="24" spans="1:37" s="280" customFormat="1" ht="13.2" customHeight="1" x14ac:dyDescent="0.35">
      <c r="A24" s="686">
        <v>3</v>
      </c>
      <c r="B24" s="523">
        <v>41</v>
      </c>
      <c r="C24" s="690" t="str">
        <f>VLOOKUP(B24,Уч!$A$2:$L$34,2,FALSE)</f>
        <v>Фомичев Андрей</v>
      </c>
      <c r="D24" s="528" t="str">
        <f>VLOOKUP(B24,Уч!$A$2:$L$34,3,FALSE)</f>
        <v>15.12.1996</v>
      </c>
      <c r="E24" s="509" t="s">
        <v>19</v>
      </c>
      <c r="F24" s="670">
        <f>VLOOKUP($B24,'100 м 1'!$C$18:$I$87,5,FALSE)</f>
        <v>11.3</v>
      </c>
      <c r="G24" s="670" t="e">
        <f>VLOOKUP($B24,'длина 2 '!$C$16:$O$54,11,FALSE)</f>
        <v>#N/A</v>
      </c>
      <c r="H24" s="670" t="e">
        <f>VLOOKUP($B24,'ядро 2'!$C$16:$K$60,8,FALSE)</f>
        <v>#N/A</v>
      </c>
      <c r="I24" s="670">
        <f>VLOOKUP($B24,'высота 2'!$C$16:$AF$57,29,FALSE)</f>
        <v>2</v>
      </c>
      <c r="J24" s="671">
        <f>VLOOKUP($B24,'4_р'!$C$17:$H$73,5,FALSE)</f>
        <v>52.48</v>
      </c>
      <c r="K24" s="670">
        <f>VLOOKUP($B24,'1cб_р'!$C$17:$I$67,5,FALSE)</f>
        <v>16.12</v>
      </c>
      <c r="L24" s="670">
        <f>VLOOKUP($B24,Дс_р!$C$16:$K$70,8,FALSE)</f>
        <v>33.42</v>
      </c>
      <c r="M24" s="670">
        <f>VLOOKUP($B24,Ш_р!$C$15:$AF$69,29,FALSE)</f>
        <v>4.3</v>
      </c>
      <c r="N24" s="670">
        <f>VLOOKUP($B24,К_р!$C$15:$K$68,8,FALSE)</f>
        <v>46.12</v>
      </c>
      <c r="O24" s="523" t="str">
        <f>VLOOKUP($B24,'15_р'!$C$17:$H$86,5,FALSE)</f>
        <v>4:52.72</v>
      </c>
      <c r="P24" s="695" t="e">
        <f>SUM(F26:O26)</f>
        <v>#N/A</v>
      </c>
      <c r="Q24" s="522" t="e">
        <f>LOOKUP(P24,Y$1:AH$1,Y$2:AH$2)</f>
        <v>#N/A</v>
      </c>
      <c r="R24" s="694" t="e">
        <f>AH24+AI24+5</f>
        <v>#N/A</v>
      </c>
      <c r="S24" s="523">
        <f>B24</f>
        <v>41</v>
      </c>
      <c r="T24" s="287">
        <f>$A24</f>
        <v>3</v>
      </c>
      <c r="U24" s="287">
        <v>1</v>
      </c>
      <c r="V24" s="287" t="s">
        <v>162</v>
      </c>
      <c r="W24" s="449"/>
      <c r="X24" s="307"/>
      <c r="Y24" s="307"/>
      <c r="Z24" s="307"/>
      <c r="AA24" s="307"/>
      <c r="AB24" s="307"/>
      <c r="AC24" s="307"/>
      <c r="AD24" s="450"/>
      <c r="AE24" s="450"/>
      <c r="AF24" s="450"/>
      <c r="AH24" s="280" t="e">
        <f>IF(AND(T24&gt;16,P24&gt;=6200),"1",LOOKUP(T24,Y$5:AO$5,Y$6:AO$6))</f>
        <v>#N/A</v>
      </c>
      <c r="AI24" s="280" t="e">
        <f>LOOKUP(Q24,Y$8:AD$8,Y$9:AD$9)</f>
        <v>#N/A</v>
      </c>
      <c r="AJ24" s="404">
        <v>506</v>
      </c>
      <c r="AK24" s="231"/>
    </row>
    <row r="25" spans="1:37" s="280" customFormat="1" ht="13.2" customHeight="1" x14ac:dyDescent="0.35">
      <c r="A25" s="686"/>
      <c r="B25" s="523"/>
      <c r="C25" s="723" t="str">
        <f>VLOOKUP(B24,Уч!$A$2:$L$34,5,FALSE)</f>
        <v xml:space="preserve">Кемеровская область  </v>
      </c>
      <c r="D25" s="528" t="str">
        <f>VLOOKUP(B24,Уч!$A$2:$L$34,4,FALSE)</f>
        <v>МС</v>
      </c>
      <c r="E25" s="509" t="s">
        <v>25</v>
      </c>
      <c r="F25" s="672">
        <f>VLOOKUP($B24,'100 м 1'!$C$18:$I$87,6,FALSE)</f>
        <v>0.1</v>
      </c>
      <c r="G25" s="672" t="e">
        <f>VLOOKUP($B24,'длина 2 '!$C$16:$O$54,12,FALSE)</f>
        <v>#N/A</v>
      </c>
      <c r="H25" s="523"/>
      <c r="I25" s="672"/>
      <c r="J25" s="673"/>
      <c r="K25" s="672">
        <f>VLOOKUP($B24,'1cб_р'!$C$17:$I$67,6,FALSE)</f>
        <v>-1.5</v>
      </c>
      <c r="L25" s="672"/>
      <c r="M25" s="672"/>
      <c r="N25" s="523"/>
      <c r="O25" s="523"/>
      <c r="P25" s="695"/>
      <c r="Q25" s="674"/>
      <c r="R25" s="694" t="e">
        <f>CONCATENATE(AH24,"+",AI24,"+",5)</f>
        <v>#N/A</v>
      </c>
      <c r="S25" s="523">
        <f>B24</f>
        <v>41</v>
      </c>
      <c r="T25" s="287">
        <f>$A24</f>
        <v>3</v>
      </c>
      <c r="U25" s="287">
        <v>2</v>
      </c>
      <c r="V25" s="287" t="s">
        <v>162</v>
      </c>
      <c r="W25" s="449"/>
      <c r="X25" s="307"/>
      <c r="Y25" s="307"/>
      <c r="Z25" s="307"/>
      <c r="AA25" s="307"/>
      <c r="AB25" s="307"/>
      <c r="AC25" s="307"/>
      <c r="AD25" s="450"/>
      <c r="AE25" s="450"/>
      <c r="AF25" s="450"/>
      <c r="AH25" s="231"/>
      <c r="AI25" s="231"/>
      <c r="AJ25" s="404">
        <v>506</v>
      </c>
      <c r="AK25" s="231"/>
    </row>
    <row r="26" spans="1:37" s="280" customFormat="1" ht="13.2" customHeight="1" x14ac:dyDescent="0.35">
      <c r="A26" s="686"/>
      <c r="B26" s="523"/>
      <c r="C26" s="724" t="str">
        <f>VLOOKUP(B24,Уч!$A$2:$L$34,7,FALSE)</f>
        <v>ГБФСУ КО "СШОР по легкой атлетике им. В.А.Савенкова", ГАУ КО "ЦП ССК"</v>
      </c>
      <c r="D26" s="528"/>
      <c r="E26" s="509" t="s">
        <v>29</v>
      </c>
      <c r="F26" s="523">
        <f>VLOOKUP($B24,'100 м 1'!$C$18:$I$87,7,FALSE)</f>
        <v>795</v>
      </c>
      <c r="G26" s="523" t="e">
        <f>VLOOKUP($B24,'длина 2 '!$C$16:$O$54,13,FALSE)</f>
        <v>#N/A</v>
      </c>
      <c r="H26" s="523" t="e">
        <f>VLOOKUP($B24,'ядро 2'!$C$16:$K$60,9,FALSE)</f>
        <v>#N/A</v>
      </c>
      <c r="I26" s="523">
        <f>VLOOKUP($B24,'высота 2'!$C$16:$AF$57,30,)</f>
        <v>0</v>
      </c>
      <c r="J26" s="526">
        <f>VLOOKUP($B24,'4_р'!$C$17:$H$73,6,FALSE)</f>
        <v>704</v>
      </c>
      <c r="K26" s="523">
        <f>VLOOKUP($B24,'1cб_р'!$C$17:$I$67,7,FALSE)</f>
        <v>719</v>
      </c>
      <c r="L26" s="523">
        <f>VLOOKUP($B24,Дс_р!$C$16:$K$70,9,FALSE)</f>
        <v>532</v>
      </c>
      <c r="M26" s="523">
        <f>VLOOKUP($B24,Ш_р!$C$15:$AF$69,30,FALSE)</f>
        <v>702</v>
      </c>
      <c r="N26" s="523">
        <f>VLOOKUP($B24,К_р!$C$15:$K$68,9,FALSE)</f>
        <v>531</v>
      </c>
      <c r="O26" s="523">
        <f>VLOOKUP($B24,'15_р'!$C$17:$H$86,6,FALSE)</f>
        <v>602</v>
      </c>
      <c r="P26" s="695"/>
      <c r="Q26" s="650"/>
      <c r="R26" s="695"/>
      <c r="S26" s="523">
        <f>B24</f>
        <v>41</v>
      </c>
      <c r="T26" s="287">
        <f>$A24</f>
        <v>3</v>
      </c>
      <c r="U26" s="287">
        <v>3</v>
      </c>
      <c r="V26" s="287" t="s">
        <v>162</v>
      </c>
      <c r="W26" s="449"/>
      <c r="X26" s="307"/>
      <c r="Y26" s="307"/>
      <c r="Z26" s="307"/>
      <c r="AA26" s="307"/>
      <c r="AB26" s="307"/>
      <c r="AC26" s="307"/>
      <c r="AD26" s="450"/>
      <c r="AE26" s="450"/>
      <c r="AF26" s="450"/>
      <c r="AH26" s="231"/>
      <c r="AI26" s="231"/>
      <c r="AJ26" s="404">
        <v>506</v>
      </c>
      <c r="AK26" s="231"/>
    </row>
    <row r="27" spans="1:37" s="280" customFormat="1" ht="13.2" customHeight="1" x14ac:dyDescent="0.35">
      <c r="A27" s="686"/>
      <c r="B27" s="523"/>
      <c r="C27" s="723" t="str">
        <f>VLOOKUP(B24,Уч!$A$2:$L$34,11,FALSE)</f>
        <v>Хайлов С.Н., Фомичев В.Н.</v>
      </c>
      <c r="D27" s="528"/>
      <c r="E27" s="509" t="s">
        <v>276</v>
      </c>
      <c r="F27" s="523">
        <f>F26</f>
        <v>795</v>
      </c>
      <c r="G27" s="523" t="e">
        <f>F27+G26</f>
        <v>#N/A</v>
      </c>
      <c r="H27" s="523" t="e">
        <f>G27+H26</f>
        <v>#N/A</v>
      </c>
      <c r="I27" s="523" t="e">
        <f>H27+I26</f>
        <v>#N/A</v>
      </c>
      <c r="J27" s="526" t="e">
        <f>SUM($F26:J26)</f>
        <v>#N/A</v>
      </c>
      <c r="K27" s="523" t="e">
        <f>SUM($F26:$K26)</f>
        <v>#N/A</v>
      </c>
      <c r="L27" s="523" t="e">
        <f>K27+L26</f>
        <v>#N/A</v>
      </c>
      <c r="M27" s="523" t="e">
        <f>L27+M26</f>
        <v>#N/A</v>
      </c>
      <c r="N27" s="523" t="e">
        <f>SUM($F26:$N26)</f>
        <v>#N/A</v>
      </c>
      <c r="O27" s="523" t="e">
        <f>SUM($F26:$O26)</f>
        <v>#N/A</v>
      </c>
      <c r="P27" s="695"/>
      <c r="Q27" s="650"/>
      <c r="R27" s="695"/>
      <c r="S27" s="523">
        <f>B24</f>
        <v>41</v>
      </c>
      <c r="T27" s="287">
        <f>$A24</f>
        <v>3</v>
      </c>
      <c r="U27" s="287">
        <v>4</v>
      </c>
      <c r="V27" s="287" t="s">
        <v>162</v>
      </c>
      <c r="W27" s="372">
        <f t="shared" ref="W27:AF27" si="2">F27</f>
        <v>795</v>
      </c>
      <c r="X27" s="372" t="e">
        <f t="shared" si="2"/>
        <v>#N/A</v>
      </c>
      <c r="Y27" s="372" t="e">
        <f t="shared" si="2"/>
        <v>#N/A</v>
      </c>
      <c r="Z27" s="372" t="e">
        <f t="shared" si="2"/>
        <v>#N/A</v>
      </c>
      <c r="AA27" s="372" t="e">
        <f t="shared" si="2"/>
        <v>#N/A</v>
      </c>
      <c r="AB27" s="372" t="e">
        <f t="shared" si="2"/>
        <v>#N/A</v>
      </c>
      <c r="AC27" s="372" t="e">
        <f t="shared" si="2"/>
        <v>#N/A</v>
      </c>
      <c r="AD27" s="372" t="e">
        <f t="shared" si="2"/>
        <v>#N/A</v>
      </c>
      <c r="AE27" s="372" t="e">
        <f t="shared" si="2"/>
        <v>#N/A</v>
      </c>
      <c r="AF27" s="372" t="e">
        <f t="shared" si="2"/>
        <v>#N/A</v>
      </c>
      <c r="AH27" s="231"/>
      <c r="AI27" s="231"/>
      <c r="AJ27" s="404">
        <v>506</v>
      </c>
      <c r="AK27" s="231"/>
    </row>
    <row r="28" spans="1:37" s="280" customFormat="1" ht="13.2" customHeight="1" x14ac:dyDescent="0.25">
      <c r="A28" s="625"/>
      <c r="B28" s="698"/>
      <c r="C28" s="691"/>
      <c r="D28" s="699"/>
      <c r="E28" s="692" t="s">
        <v>59</v>
      </c>
      <c r="F28" s="698" t="e">
        <f>RANK(F27,$W$14:$W$68,0)</f>
        <v>#N/A</v>
      </c>
      <c r="G28" s="698" t="e">
        <f>RANK(G27,$X$14:$X$68,0)</f>
        <v>#N/A</v>
      </c>
      <c r="H28" s="698" t="e">
        <f>RANK(H27,$Y$14:$Y$68,0)</f>
        <v>#N/A</v>
      </c>
      <c r="I28" s="698" t="e">
        <f>RANK(I27,$Z$14:$Z$68,0)</f>
        <v>#N/A</v>
      </c>
      <c r="J28" s="700" t="e">
        <f>RANK(J27,$AA$14:$AA$68,0)</f>
        <v>#N/A</v>
      </c>
      <c r="K28" s="698" t="e">
        <f>RANK(K27,$AB$14:$AB$68,0)</f>
        <v>#N/A</v>
      </c>
      <c r="L28" s="698" t="e">
        <f>RANK(L27,$AC$14:$AC$68,0)</f>
        <v>#N/A</v>
      </c>
      <c r="M28" s="698" t="e">
        <f>RANK(M27,$AD$14:$AD$68,0)</f>
        <v>#N/A</v>
      </c>
      <c r="N28" s="698" t="e">
        <f>RANK(N27,$AE$14:$AE$68,0)</f>
        <v>#N/A</v>
      </c>
      <c r="O28" s="698" t="e">
        <f>RANK(O27,$AF$14:$AF$68,0)</f>
        <v>#N/A</v>
      </c>
      <c r="P28" s="648"/>
      <c r="Q28" s="701"/>
      <c r="R28" s="696"/>
      <c r="S28" s="675">
        <f>B24</f>
        <v>41</v>
      </c>
      <c r="T28" s="287">
        <f>$A24</f>
        <v>3</v>
      </c>
      <c r="U28" s="287">
        <v>5</v>
      </c>
      <c r="V28" s="287" t="s">
        <v>162</v>
      </c>
      <c r="W28" s="449"/>
      <c r="X28" s="307"/>
      <c r="Y28" s="307"/>
      <c r="Z28" s="307"/>
      <c r="AA28" s="307"/>
      <c r="AB28" s="307"/>
      <c r="AC28" s="307"/>
      <c r="AD28" s="450"/>
      <c r="AE28" s="450"/>
      <c r="AF28" s="450"/>
      <c r="AJ28" s="404">
        <v>506</v>
      </c>
      <c r="AK28" s="231"/>
    </row>
    <row r="29" spans="1:37" s="280" customFormat="1" ht="13.2" customHeight="1" x14ac:dyDescent="0.35">
      <c r="A29" s="686">
        <v>4</v>
      </c>
      <c r="B29" s="523">
        <v>44</v>
      </c>
      <c r="C29" s="690" t="str">
        <f>VLOOKUP(B29,Уч!$A$2:$L$34,2,FALSE)</f>
        <v>Хамедов Игорь</v>
      </c>
      <c r="D29" s="528" t="str">
        <f>VLOOKUP(B29,Уч!$A$2:$L$34,3,FALSE)</f>
        <v>30.05.1998</v>
      </c>
      <c r="E29" s="509" t="s">
        <v>19</v>
      </c>
      <c r="F29" s="670">
        <f>VLOOKUP($B29,'100 м 1'!$C$18:$I$87,5,FALSE)</f>
        <v>11.78</v>
      </c>
      <c r="G29" s="670">
        <f>VLOOKUP($B29,'длина 2 '!$C$16:$O$54,11,FALSE)</f>
        <v>6.12</v>
      </c>
      <c r="H29" s="670">
        <f>VLOOKUP($B29,'ядро 2'!$C$16:$K$60,8,FALSE)</f>
        <v>13.22</v>
      </c>
      <c r="I29" s="670">
        <f>VLOOKUP($B29,'высота 2'!$C$16:$AF$57,29,FALSE)</f>
        <v>1.91</v>
      </c>
      <c r="J29" s="671">
        <f>VLOOKUP($B29,'4_р'!$C$17:$H$73,5,FALSE)</f>
        <v>50.15</v>
      </c>
      <c r="K29" s="670">
        <f>VLOOKUP($B29,'1cб_р'!$C$17:$I$67,5,FALSE)</f>
        <v>16.11</v>
      </c>
      <c r="L29" s="670">
        <f>VLOOKUP($B29,Дс_р!$C$16:$K$70,8,FALSE)</f>
        <v>33.67</v>
      </c>
      <c r="M29" s="670">
        <f>VLOOKUP($B29,Ш_р!$C$15:$AF$69,29,FALSE)</f>
        <v>3.6</v>
      </c>
      <c r="N29" s="670">
        <f>VLOOKUP($B29,К_р!$C$15:$K$68,8,FALSE)</f>
        <v>47.52</v>
      </c>
      <c r="O29" s="523" t="str">
        <f>VLOOKUP($B29,'15_р'!$C$17:$H$86,5,FALSE)</f>
        <v>4:41.81</v>
      </c>
      <c r="P29" s="695">
        <f>SUM(F31:O31)</f>
        <v>5171</v>
      </c>
      <c r="Q29" s="522">
        <f>LOOKUP(P29,Y$1:AH$1,Y$2:AH$2)</f>
        <v>2</v>
      </c>
      <c r="R29" s="694">
        <f>AH29+AI29+5</f>
        <v>19</v>
      </c>
      <c r="S29" s="523">
        <f>B29</f>
        <v>44</v>
      </c>
      <c r="T29" s="287">
        <f>$A29</f>
        <v>4</v>
      </c>
      <c r="U29" s="287">
        <v>1</v>
      </c>
      <c r="V29" s="287" t="s">
        <v>162</v>
      </c>
      <c r="W29" s="307"/>
      <c r="X29" s="307"/>
      <c r="Y29" s="307"/>
      <c r="Z29" s="307"/>
      <c r="AA29" s="307"/>
      <c r="AB29" s="307"/>
      <c r="AC29" s="307"/>
      <c r="AD29" s="450"/>
      <c r="AE29" s="450"/>
      <c r="AF29" s="450"/>
      <c r="AH29" s="280">
        <f>IF(AND(T29&gt;16,P29&gt;=6200),"1",LOOKUP(T29,Y$5:AO$5,Y$6:AO$6))</f>
        <v>14</v>
      </c>
      <c r="AI29" s="280">
        <f>LOOKUP(Q29,Y$8:AD$8,Y$9:AD$9)</f>
        <v>0</v>
      </c>
      <c r="AJ29" s="404">
        <v>462</v>
      </c>
      <c r="AK29" s="231"/>
    </row>
    <row r="30" spans="1:37" s="280" customFormat="1" ht="13.2" customHeight="1" x14ac:dyDescent="0.35">
      <c r="A30" s="686"/>
      <c r="B30" s="523"/>
      <c r="C30" s="723" t="str">
        <f>VLOOKUP(B29,Уч!$A$2:$L$34,5,FALSE)</f>
        <v xml:space="preserve">Кемеровская область  </v>
      </c>
      <c r="D30" s="528" t="str">
        <f>VLOOKUP(B29,Уч!$A$2:$L$34,4,FALSE)</f>
        <v>КМС</v>
      </c>
      <c r="E30" s="509" t="s">
        <v>25</v>
      </c>
      <c r="F30" s="672">
        <f>VLOOKUP($B29,'100 м 1'!$C$18:$I$87,6,FALSE)</f>
        <v>0.8</v>
      </c>
      <c r="G30" s="672">
        <f>VLOOKUP($B29,'длина 2 '!$C$16:$O$54,12,FALSE)</f>
        <v>0</v>
      </c>
      <c r="H30" s="523"/>
      <c r="I30" s="672"/>
      <c r="J30" s="673"/>
      <c r="K30" s="672">
        <f>VLOOKUP($B29,'1cб_р'!$C$17:$I$67,6,FALSE)</f>
        <v>0</v>
      </c>
      <c r="L30" s="672"/>
      <c r="M30" s="672"/>
      <c r="N30" s="523"/>
      <c r="O30" s="523"/>
      <c r="P30" s="695"/>
      <c r="Q30" s="674"/>
      <c r="R30" s="694" t="str">
        <f>CONCATENATE(AH29,"+",AI29,"+",5)</f>
        <v>14+0+5</v>
      </c>
      <c r="S30" s="523">
        <f>B29</f>
        <v>44</v>
      </c>
      <c r="T30" s="287">
        <f>$A29</f>
        <v>4</v>
      </c>
      <c r="U30" s="287">
        <v>2</v>
      </c>
      <c r="V30" s="287" t="s">
        <v>162</v>
      </c>
      <c r="W30" s="307"/>
      <c r="X30" s="307"/>
      <c r="Y30" s="307"/>
      <c r="Z30" s="307"/>
      <c r="AA30" s="307"/>
      <c r="AB30" s="307"/>
      <c r="AC30" s="307"/>
      <c r="AD30" s="450"/>
      <c r="AE30" s="450"/>
      <c r="AF30" s="450"/>
      <c r="AH30" s="231"/>
      <c r="AI30" s="231"/>
      <c r="AJ30" s="404">
        <v>462</v>
      </c>
      <c r="AK30" s="231"/>
    </row>
    <row r="31" spans="1:37" s="280" customFormat="1" ht="13.2" customHeight="1" x14ac:dyDescent="0.35">
      <c r="A31" s="686"/>
      <c r="B31" s="523"/>
      <c r="C31" s="724" t="str">
        <f>VLOOKUP(B29,Уч!$A$2:$L$34,7,FALSE)</f>
        <v>МАФСУ "СШ №7"</v>
      </c>
      <c r="D31" s="525"/>
      <c r="E31" s="509" t="s">
        <v>29</v>
      </c>
      <c r="F31" s="523">
        <f>VLOOKUP($B29,'100 м 1'!$C$18:$I$87,7,FALSE)</f>
        <v>695</v>
      </c>
      <c r="G31" s="523">
        <f>VLOOKUP($B29,'длина 2 '!$C$16:$O$54,13,FALSE)</f>
        <v>0</v>
      </c>
      <c r="H31" s="523">
        <f>VLOOKUP($B29,'ядро 2'!$C$16:$K$60,9,FALSE)</f>
        <v>681</v>
      </c>
      <c r="I31" s="523">
        <f>VLOOKUP($B29,'высота 2'!$C$16:$AF$57,30,)</f>
        <v>0</v>
      </c>
      <c r="J31" s="526">
        <f>VLOOKUP($B29,'4_р'!$C$17:$H$73,6,FALSE)</f>
        <v>808</v>
      </c>
      <c r="K31" s="523">
        <f>VLOOKUP($B29,'1cб_р'!$C$17:$I$67,7,FALSE)</f>
        <v>720</v>
      </c>
      <c r="L31" s="523">
        <f>VLOOKUP($B29,Дс_р!$C$16:$K$70,9,FALSE)</f>
        <v>537</v>
      </c>
      <c r="M31" s="523">
        <f>VLOOKUP($B29,Ш_р!$C$15:$AF$69,30,FALSE)</f>
        <v>509</v>
      </c>
      <c r="N31" s="523">
        <f>VLOOKUP($B29,К_р!$C$15:$K$68,9,FALSE)</f>
        <v>552</v>
      </c>
      <c r="O31" s="523">
        <f>VLOOKUP($B29,'15_р'!$C$17:$H$86,6,FALSE)</f>
        <v>669</v>
      </c>
      <c r="P31" s="695"/>
      <c r="Q31" s="650"/>
      <c r="R31" s="695"/>
      <c r="S31" s="523">
        <f>B29</f>
        <v>44</v>
      </c>
      <c r="T31" s="287">
        <f>$A29</f>
        <v>4</v>
      </c>
      <c r="U31" s="287">
        <v>3</v>
      </c>
      <c r="V31" s="287" t="s">
        <v>162</v>
      </c>
      <c r="W31" s="307"/>
      <c r="X31" s="307"/>
      <c r="Y31" s="307"/>
      <c r="Z31" s="307"/>
      <c r="AA31" s="307"/>
      <c r="AB31" s="307"/>
      <c r="AC31" s="307"/>
      <c r="AD31" s="450"/>
      <c r="AE31" s="450"/>
      <c r="AF31" s="450"/>
      <c r="AH31" s="231"/>
      <c r="AI31" s="231"/>
      <c r="AJ31" s="404">
        <v>462</v>
      </c>
      <c r="AK31" s="231"/>
    </row>
    <row r="32" spans="1:37" s="280" customFormat="1" ht="13.2" customHeight="1" x14ac:dyDescent="0.35">
      <c r="A32" s="686"/>
      <c r="B32" s="523"/>
      <c r="C32" s="723" t="str">
        <f>VLOOKUP(B29,Уч!$A$2:$L$34,11,FALSE)</f>
        <v>Быков И.С., Чернявская Ю.В., Ляпин И.М.</v>
      </c>
      <c r="D32" s="525"/>
      <c r="E32" s="509" t="s">
        <v>276</v>
      </c>
      <c r="F32" s="523">
        <f>F31</f>
        <v>695</v>
      </c>
      <c r="G32" s="523">
        <f>F32+G31</f>
        <v>695</v>
      </c>
      <c r="H32" s="523">
        <f>G32+H31</f>
        <v>1376</v>
      </c>
      <c r="I32" s="523">
        <f>H32+I31</f>
        <v>1376</v>
      </c>
      <c r="J32" s="526">
        <f>SUM($F31:J31)</f>
        <v>2184</v>
      </c>
      <c r="K32" s="523">
        <f>SUM($F31:$K31)</f>
        <v>2904</v>
      </c>
      <c r="L32" s="523">
        <f>K32+L31</f>
        <v>3441</v>
      </c>
      <c r="M32" s="523">
        <f>L32+M31</f>
        <v>3950</v>
      </c>
      <c r="N32" s="523">
        <f>SUM($F31:$N31)</f>
        <v>4502</v>
      </c>
      <c r="O32" s="523">
        <f>SUM($F31:$O31)</f>
        <v>5171</v>
      </c>
      <c r="P32" s="695"/>
      <c r="Q32" s="650"/>
      <c r="R32" s="695"/>
      <c r="S32" s="523">
        <f>B29</f>
        <v>44</v>
      </c>
      <c r="T32" s="287">
        <f>$A29</f>
        <v>4</v>
      </c>
      <c r="U32" s="287">
        <v>4</v>
      </c>
      <c r="V32" s="287" t="s">
        <v>162</v>
      </c>
      <c r="W32" s="372">
        <f t="shared" ref="W32:AF32" si="3">F32</f>
        <v>695</v>
      </c>
      <c r="X32" s="372">
        <f t="shared" si="3"/>
        <v>695</v>
      </c>
      <c r="Y32" s="372">
        <f t="shared" si="3"/>
        <v>1376</v>
      </c>
      <c r="Z32" s="372">
        <f t="shared" si="3"/>
        <v>1376</v>
      </c>
      <c r="AA32" s="372">
        <f t="shared" si="3"/>
        <v>2184</v>
      </c>
      <c r="AB32" s="372">
        <f t="shared" si="3"/>
        <v>2904</v>
      </c>
      <c r="AC32" s="372">
        <f t="shared" si="3"/>
        <v>3441</v>
      </c>
      <c r="AD32" s="372">
        <f t="shared" si="3"/>
        <v>3950</v>
      </c>
      <c r="AE32" s="372">
        <f t="shared" si="3"/>
        <v>4502</v>
      </c>
      <c r="AF32" s="372">
        <f t="shared" si="3"/>
        <v>5171</v>
      </c>
      <c r="AH32" s="231"/>
      <c r="AI32" s="231"/>
      <c r="AJ32" s="404">
        <v>462</v>
      </c>
      <c r="AK32" s="287"/>
    </row>
    <row r="33" spans="1:37" s="280" customFormat="1" ht="13.2" customHeight="1" x14ac:dyDescent="0.25">
      <c r="A33" s="625"/>
      <c r="B33" s="698"/>
      <c r="C33" s="691"/>
      <c r="D33" s="703"/>
      <c r="E33" s="692" t="s">
        <v>59</v>
      </c>
      <c r="F33" s="698" t="e">
        <f>RANK(F32,$W$14:$W$68,0)</f>
        <v>#N/A</v>
      </c>
      <c r="G33" s="698" t="e">
        <f>RANK(G32,$X$14:$X$68,0)</f>
        <v>#N/A</v>
      </c>
      <c r="H33" s="698" t="e">
        <f>RANK(H32,$Y$14:$Y$68,0)</f>
        <v>#N/A</v>
      </c>
      <c r="I33" s="698" t="e">
        <f>RANK(I32,$Z$14:$Z$68,0)</f>
        <v>#N/A</v>
      </c>
      <c r="J33" s="700" t="e">
        <f>RANK(J32,$AA$14:$AA$68,0)</f>
        <v>#N/A</v>
      </c>
      <c r="K33" s="698" t="e">
        <f>RANK(K32,$AB$14:$AB$68,0)</f>
        <v>#N/A</v>
      </c>
      <c r="L33" s="698" t="e">
        <f>RANK(L32,$AC$14:$AC$68,0)</f>
        <v>#N/A</v>
      </c>
      <c r="M33" s="698" t="e">
        <f>RANK(M32,$AD$14:$AD$68,0)</f>
        <v>#N/A</v>
      </c>
      <c r="N33" s="698" t="e">
        <f>RANK(N32,$AE$14:$AE$68,0)</f>
        <v>#N/A</v>
      </c>
      <c r="O33" s="698" t="e">
        <f>RANK(O32,$AF$14:$AF$68,0)</f>
        <v>#N/A</v>
      </c>
      <c r="P33" s="648"/>
      <c r="Q33" s="701"/>
      <c r="R33" s="696"/>
      <c r="S33" s="675">
        <f>B29</f>
        <v>44</v>
      </c>
      <c r="T33" s="287">
        <f>$A29</f>
        <v>4</v>
      </c>
      <c r="U33" s="287">
        <v>5</v>
      </c>
      <c r="V33" s="287" t="s">
        <v>162</v>
      </c>
      <c r="W33" s="307"/>
      <c r="X33" s="307"/>
      <c r="Y33" s="307"/>
      <c r="Z33" s="307"/>
      <c r="AA33" s="307"/>
      <c r="AB33" s="307"/>
      <c r="AC33" s="307"/>
      <c r="AD33" s="450"/>
      <c r="AE33" s="450"/>
      <c r="AF33" s="450"/>
      <c r="AH33" s="231"/>
      <c r="AI33" s="231"/>
      <c r="AJ33" s="404">
        <v>462</v>
      </c>
      <c r="AK33" s="287"/>
    </row>
    <row r="34" spans="1:37" s="280" customFormat="1" ht="13.2" customHeight="1" x14ac:dyDescent="0.35">
      <c r="A34" s="686">
        <v>5</v>
      </c>
      <c r="B34" s="523">
        <v>50</v>
      </c>
      <c r="C34" s="690" t="e">
        <f>VLOOKUP(B34,Уч!$A$2:$L$34,2,FALSE)</f>
        <v>#N/A</v>
      </c>
      <c r="D34" s="528" t="e">
        <f>VLOOKUP(B34,Уч!$A$2:$L$34,3,FALSE)</f>
        <v>#N/A</v>
      </c>
      <c r="E34" s="509" t="s">
        <v>19</v>
      </c>
      <c r="F34" s="670" t="e">
        <f>VLOOKUP($B34,'100 м 1'!$C$18:$I$87,5,FALSE)</f>
        <v>#N/A</v>
      </c>
      <c r="G34" s="670" t="e">
        <f>VLOOKUP($B34,'длина 2 '!$C$16:$O$54,11,FALSE)</f>
        <v>#N/A</v>
      </c>
      <c r="H34" s="670" t="e">
        <f>VLOOKUP($B34,'ядро 2'!$C$16:$K$60,8,FALSE)</f>
        <v>#N/A</v>
      </c>
      <c r="I34" s="670">
        <f>VLOOKUP($B34,'высота 2'!$C$16:$AF$57,29,FALSE)</f>
        <v>1.88</v>
      </c>
      <c r="J34" s="671">
        <f>VLOOKUP($B34,'4_р'!$C$17:$H$73,5,FALSE)</f>
        <v>50.95</v>
      </c>
      <c r="K34" s="670">
        <f>VLOOKUP($B34,'1cб_р'!$C$17:$I$67,5,FALSE)</f>
        <v>16.010000000000002</v>
      </c>
      <c r="L34" s="670">
        <f>VLOOKUP($B34,Дс_р!$C$16:$K$70,8,FALSE)</f>
        <v>32.69</v>
      </c>
      <c r="M34" s="670">
        <f>VLOOKUP($B34,Ш_р!$C$15:$AF$69,29,FALSE)</f>
        <v>3.9</v>
      </c>
      <c r="N34" s="670">
        <f>VLOOKUP($B34,К_р!$C$15:$K$68,8,FALSE)</f>
        <v>45.25</v>
      </c>
      <c r="O34" s="523" t="str">
        <f>VLOOKUP($B34,'15_р'!$C$17:$H$86,5,FALSE)</f>
        <v>4:54.00</v>
      </c>
      <c r="P34" s="695" t="e">
        <f>SUM(F36:O36)</f>
        <v>#N/A</v>
      </c>
      <c r="Q34" s="522" t="e">
        <f>LOOKUP(P34,Y$1:AH$1,Y$2:AH$2)</f>
        <v>#N/A</v>
      </c>
      <c r="R34" s="694" t="e">
        <f>AH34+AI34+5</f>
        <v>#N/A</v>
      </c>
      <c r="S34" s="523">
        <f>B34</f>
        <v>50</v>
      </c>
      <c r="T34" s="287">
        <f>$A34</f>
        <v>5</v>
      </c>
      <c r="U34" s="287">
        <v>1</v>
      </c>
      <c r="V34" s="287" t="s">
        <v>162</v>
      </c>
      <c r="W34" s="449"/>
      <c r="X34" s="307"/>
      <c r="Y34" s="307"/>
      <c r="Z34" s="307"/>
      <c r="AA34" s="307"/>
      <c r="AB34" s="307"/>
      <c r="AC34" s="307"/>
      <c r="AD34" s="450"/>
      <c r="AE34" s="450"/>
      <c r="AF34" s="450"/>
      <c r="AH34" s="280" t="e">
        <f>IF(AND(T34&gt;16,P34&gt;=6200),"1",LOOKUP(T34,Y$5:AO$5,Y$6:AO$6))</f>
        <v>#N/A</v>
      </c>
      <c r="AI34" s="280" t="e">
        <f>LOOKUP(Q34,Y$8:AD$8,Y$9:AD$9)</f>
        <v>#N/A</v>
      </c>
      <c r="AJ34" s="404">
        <v>455</v>
      </c>
      <c r="AK34" s="231"/>
    </row>
    <row r="35" spans="1:37" s="280" customFormat="1" ht="13.2" customHeight="1" x14ac:dyDescent="0.35">
      <c r="A35" s="686"/>
      <c r="B35" s="523"/>
      <c r="C35" s="723" t="e">
        <f>VLOOKUP(B34,Уч!$A$2:$L$34,5,FALSE)</f>
        <v>#N/A</v>
      </c>
      <c r="D35" s="528" t="e">
        <f>VLOOKUP(B34,Уч!$A$2:$L$34,4,FALSE)</f>
        <v>#N/A</v>
      </c>
      <c r="E35" s="509" t="s">
        <v>25</v>
      </c>
      <c r="F35" s="672" t="e">
        <f>VLOOKUP($B34,'100 м 1'!$C$18:$I$87,6,FALSE)</f>
        <v>#N/A</v>
      </c>
      <c r="G35" s="672" t="e">
        <f>VLOOKUP($B34,'длина 2 '!$C$16:$O$54,12,FALSE)</f>
        <v>#N/A</v>
      </c>
      <c r="H35" s="523"/>
      <c r="I35" s="672"/>
      <c r="J35" s="673"/>
      <c r="K35" s="672">
        <f>VLOOKUP($B34,'1cб_р'!$C$17:$I$67,6,FALSE)</f>
        <v>-1.5</v>
      </c>
      <c r="L35" s="672"/>
      <c r="M35" s="672"/>
      <c r="N35" s="523"/>
      <c r="O35" s="523"/>
      <c r="P35" s="695"/>
      <c r="Q35" s="674"/>
      <c r="R35" s="694" t="e">
        <f>CONCATENATE(AH34,"+",AI34,"+",5)</f>
        <v>#N/A</v>
      </c>
      <c r="S35" s="523">
        <f>B34</f>
        <v>50</v>
      </c>
      <c r="T35" s="287">
        <f>$A34</f>
        <v>5</v>
      </c>
      <c r="U35" s="287">
        <v>2</v>
      </c>
      <c r="V35" s="287" t="s">
        <v>162</v>
      </c>
      <c r="W35" s="449"/>
      <c r="X35" s="307"/>
      <c r="Y35" s="307"/>
      <c r="Z35" s="307"/>
      <c r="AA35" s="307"/>
      <c r="AB35" s="307"/>
      <c r="AC35" s="307"/>
      <c r="AD35" s="450"/>
      <c r="AE35" s="450"/>
      <c r="AF35" s="450"/>
      <c r="AH35" s="231"/>
      <c r="AI35" s="231"/>
      <c r="AJ35" s="404">
        <v>455</v>
      </c>
      <c r="AK35" s="231"/>
    </row>
    <row r="36" spans="1:37" s="280" customFormat="1" ht="13.2" customHeight="1" x14ac:dyDescent="0.35">
      <c r="A36" s="686"/>
      <c r="B36" s="523"/>
      <c r="C36" s="724" t="e">
        <f>VLOOKUP(B34,Уч!$A$2:$L$34,7,FALSE)</f>
        <v>#N/A</v>
      </c>
      <c r="D36" s="528"/>
      <c r="E36" s="509" t="s">
        <v>29</v>
      </c>
      <c r="F36" s="523" t="e">
        <f>VLOOKUP($B34,'100 м 1'!$C$18:$I$87,7,FALSE)</f>
        <v>#N/A</v>
      </c>
      <c r="G36" s="523" t="e">
        <f>VLOOKUP($B34,'длина 2 '!$C$16:$O$54,13,FALSE)</f>
        <v>#N/A</v>
      </c>
      <c r="H36" s="523" t="e">
        <f>VLOOKUP($B34,'ядро 2'!$C$16:$K$60,9,FALSE)</f>
        <v>#N/A</v>
      </c>
      <c r="I36" s="523">
        <f>VLOOKUP($B34,'высота 2'!$C$16:$AF$57,30,)</f>
        <v>0</v>
      </c>
      <c r="J36" s="526">
        <f>VLOOKUP($B34,'4_р'!$C$17:$H$73,6,FALSE)</f>
        <v>771</v>
      </c>
      <c r="K36" s="523">
        <f>VLOOKUP($B34,'1cб_р'!$C$17:$I$67,7,FALSE)</f>
        <v>732</v>
      </c>
      <c r="L36" s="523">
        <f>VLOOKUP($B34,Дс_р!$C$16:$K$70,9,FALSE)</f>
        <v>518</v>
      </c>
      <c r="M36" s="523">
        <f>VLOOKUP($B34,Ш_р!$C$15:$AF$69,30,FALSE)</f>
        <v>590</v>
      </c>
      <c r="N36" s="523">
        <f>VLOOKUP($B34,К_р!$C$15:$K$68,9,FALSE)</f>
        <v>519</v>
      </c>
      <c r="O36" s="523">
        <f>VLOOKUP($B34,'15_р'!$C$17:$H$86,6,FALSE)</f>
        <v>595</v>
      </c>
      <c r="P36" s="695"/>
      <c r="Q36" s="676"/>
      <c r="R36" s="695"/>
      <c r="S36" s="523">
        <f>B34</f>
        <v>50</v>
      </c>
      <c r="T36" s="287">
        <f>$A34</f>
        <v>5</v>
      </c>
      <c r="U36" s="287">
        <v>3</v>
      </c>
      <c r="V36" s="287" t="s">
        <v>162</v>
      </c>
      <c r="W36" s="449"/>
      <c r="X36" s="307"/>
      <c r="Y36" s="307"/>
      <c r="Z36" s="307"/>
      <c r="AA36" s="307"/>
      <c r="AB36" s="307"/>
      <c r="AC36" s="307"/>
      <c r="AD36" s="450"/>
      <c r="AE36" s="450"/>
      <c r="AF36" s="450"/>
      <c r="AH36" s="231"/>
      <c r="AI36" s="231"/>
      <c r="AJ36" s="404">
        <v>455</v>
      </c>
      <c r="AK36" s="231"/>
    </row>
    <row r="37" spans="1:37" s="280" customFormat="1" ht="13.2" customHeight="1" x14ac:dyDescent="0.35">
      <c r="A37" s="686"/>
      <c r="B37" s="523"/>
      <c r="C37" s="723" t="e">
        <f>VLOOKUP(B34,Уч!$A$2:$L$34,11,FALSE)</f>
        <v>#N/A</v>
      </c>
      <c r="D37" s="528"/>
      <c r="E37" s="509" t="s">
        <v>276</v>
      </c>
      <c r="F37" s="523" t="e">
        <f>F36</f>
        <v>#N/A</v>
      </c>
      <c r="G37" s="523" t="e">
        <f>F37+G36</f>
        <v>#N/A</v>
      </c>
      <c r="H37" s="523" t="e">
        <f>G37+H36</f>
        <v>#N/A</v>
      </c>
      <c r="I37" s="523" t="e">
        <f>H37+I36</f>
        <v>#N/A</v>
      </c>
      <c r="J37" s="526" t="e">
        <f>SUM($F36:J36)</f>
        <v>#N/A</v>
      </c>
      <c r="K37" s="523" t="e">
        <f>SUM($F36:$K36)</f>
        <v>#N/A</v>
      </c>
      <c r="L37" s="523" t="e">
        <f>K37+L36</f>
        <v>#N/A</v>
      </c>
      <c r="M37" s="523" t="e">
        <f>L37+M36</f>
        <v>#N/A</v>
      </c>
      <c r="N37" s="523" t="e">
        <f>SUM($F36:$N36)</f>
        <v>#N/A</v>
      </c>
      <c r="O37" s="523" t="e">
        <f>SUM($F36:$O36)</f>
        <v>#N/A</v>
      </c>
      <c r="P37" s="695"/>
      <c r="Q37" s="674"/>
      <c r="R37" s="695"/>
      <c r="S37" s="523">
        <f>B34</f>
        <v>50</v>
      </c>
      <c r="T37" s="287">
        <f>$A34</f>
        <v>5</v>
      </c>
      <c r="U37" s="287">
        <v>4</v>
      </c>
      <c r="V37" s="287" t="s">
        <v>162</v>
      </c>
      <c r="W37" s="372" t="e">
        <f t="shared" ref="W37:AF37" si="4">F37</f>
        <v>#N/A</v>
      </c>
      <c r="X37" s="372" t="e">
        <f t="shared" si="4"/>
        <v>#N/A</v>
      </c>
      <c r="Y37" s="372" t="e">
        <f t="shared" si="4"/>
        <v>#N/A</v>
      </c>
      <c r="Z37" s="372" t="e">
        <f t="shared" si="4"/>
        <v>#N/A</v>
      </c>
      <c r="AA37" s="372" t="e">
        <f t="shared" si="4"/>
        <v>#N/A</v>
      </c>
      <c r="AB37" s="372" t="e">
        <f t="shared" si="4"/>
        <v>#N/A</v>
      </c>
      <c r="AC37" s="372" t="e">
        <f t="shared" si="4"/>
        <v>#N/A</v>
      </c>
      <c r="AD37" s="372" t="e">
        <f t="shared" si="4"/>
        <v>#N/A</v>
      </c>
      <c r="AE37" s="372" t="e">
        <f t="shared" si="4"/>
        <v>#N/A</v>
      </c>
      <c r="AF37" s="372" t="e">
        <f t="shared" si="4"/>
        <v>#N/A</v>
      </c>
      <c r="AH37" s="231"/>
      <c r="AI37" s="231"/>
      <c r="AJ37" s="404">
        <v>455</v>
      </c>
      <c r="AK37" s="231"/>
    </row>
    <row r="38" spans="1:37" s="280" customFormat="1" ht="13.2" customHeight="1" x14ac:dyDescent="0.25">
      <c r="A38" s="625"/>
      <c r="B38" s="698"/>
      <c r="C38" s="691"/>
      <c r="D38" s="699"/>
      <c r="E38" s="692" t="s">
        <v>59</v>
      </c>
      <c r="F38" s="698" t="e">
        <f>RANK(F37,$W$14:$W$68,0)</f>
        <v>#N/A</v>
      </c>
      <c r="G38" s="698" t="e">
        <f>RANK(G37,$X$14:$X$68,0)</f>
        <v>#N/A</v>
      </c>
      <c r="H38" s="698" t="e">
        <f>RANK(H37,$Y$14:$Y$68,0)</f>
        <v>#N/A</v>
      </c>
      <c r="I38" s="698" t="e">
        <f>RANK(I37,$Z$14:$Z$68,0)</f>
        <v>#N/A</v>
      </c>
      <c r="J38" s="700" t="e">
        <f>RANK(J37,$AA$14:$AA$68,0)</f>
        <v>#N/A</v>
      </c>
      <c r="K38" s="698" t="e">
        <f>RANK(K37,$AB$14:$AB$68,0)</f>
        <v>#N/A</v>
      </c>
      <c r="L38" s="698" t="e">
        <f>RANK(L37,$AC$14:$AC$68,0)</f>
        <v>#N/A</v>
      </c>
      <c r="M38" s="698" t="e">
        <f>RANK(M37,$AD$14:$AD$68,0)</f>
        <v>#N/A</v>
      </c>
      <c r="N38" s="698" t="e">
        <f>RANK(N37,$AE$14:$AE$68,0)</f>
        <v>#N/A</v>
      </c>
      <c r="O38" s="698" t="e">
        <f>RANK(O37,$AF$14:$AF$68,0)</f>
        <v>#N/A</v>
      </c>
      <c r="P38" s="648"/>
      <c r="Q38" s="701"/>
      <c r="R38" s="696"/>
      <c r="S38" s="675">
        <f>B34</f>
        <v>50</v>
      </c>
      <c r="T38" s="287">
        <f>$A34</f>
        <v>5</v>
      </c>
      <c r="U38" s="287">
        <v>5</v>
      </c>
      <c r="V38" s="287" t="s">
        <v>162</v>
      </c>
      <c r="W38" s="449"/>
      <c r="X38" s="307"/>
      <c r="Y38" s="307"/>
      <c r="Z38" s="307"/>
      <c r="AA38" s="307"/>
      <c r="AB38" s="307"/>
      <c r="AC38" s="307"/>
      <c r="AD38" s="450"/>
      <c r="AE38" s="450"/>
      <c r="AF38" s="450"/>
      <c r="AH38" s="231"/>
      <c r="AI38" s="231"/>
      <c r="AJ38" s="404">
        <v>455</v>
      </c>
      <c r="AK38" s="231"/>
    </row>
    <row r="39" spans="1:37" s="280" customFormat="1" ht="13.2" customHeight="1" x14ac:dyDescent="0.35">
      <c r="A39" s="686">
        <v>6</v>
      </c>
      <c r="B39" s="523">
        <v>81</v>
      </c>
      <c r="C39" s="690" t="str">
        <f>VLOOKUP(B39,Уч!$A$2:$L$34,2,FALSE)</f>
        <v>Исаев Максим</v>
      </c>
      <c r="D39" s="528" t="str">
        <f>VLOOKUP(B39,Уч!$A$2:$L$34,3,FALSE)</f>
        <v>10.07.1997</v>
      </c>
      <c r="E39" s="509" t="s">
        <v>19</v>
      </c>
      <c r="F39" s="670">
        <f>VLOOKUP($B39,'100 м 1'!$C$18:$I$87,5,FALSE)</f>
        <v>11.7</v>
      </c>
      <c r="G39" s="670" t="e">
        <f>VLOOKUP($B39,'длина 2 '!$C$16:$O$54,11,FALSE)</f>
        <v>#N/A</v>
      </c>
      <c r="H39" s="670" t="e">
        <f>VLOOKUP($B39,'ядро 2'!$C$16:$K$60,8,FALSE)</f>
        <v>#N/A</v>
      </c>
      <c r="I39" s="670" t="e">
        <f>VLOOKUP($B39,'высота 2'!$C$16:$AF$57,29,FALSE)</f>
        <v>#N/A</v>
      </c>
      <c r="J39" s="671">
        <f>VLOOKUP($B39,'4_р'!$C$17:$H$73,5,FALSE)</f>
        <v>51.28</v>
      </c>
      <c r="K39" s="670">
        <f>VLOOKUP($B39,'1cб_р'!$C$17:$I$67,5,FALSE)</f>
        <v>17.100000000000001</v>
      </c>
      <c r="L39" s="670">
        <f>VLOOKUP($B39,Дс_р!$C$16:$K$70,8,FALSE)</f>
        <v>32.9</v>
      </c>
      <c r="M39" s="670">
        <f>VLOOKUP($B39,Ш_р!$C$15:$AF$69,29,FALSE)</f>
        <v>4</v>
      </c>
      <c r="N39" s="670">
        <f>VLOOKUP($B39,К_р!$C$15:$K$68,8,FALSE)</f>
        <v>47.22</v>
      </c>
      <c r="O39" s="523" t="str">
        <f>VLOOKUP($B39,'15_р'!$C$17:$H$86,5,FALSE)</f>
        <v>4:36.63</v>
      </c>
      <c r="P39" s="695" t="e">
        <f>SUM(F41:O41)</f>
        <v>#N/A</v>
      </c>
      <c r="Q39" s="522" t="e">
        <f>LOOKUP(P39,Y$1:AH$1,Y$2:AH$2)</f>
        <v>#N/A</v>
      </c>
      <c r="R39" s="694" t="e">
        <f>AH39+AI39+5</f>
        <v>#N/A</v>
      </c>
      <c r="S39" s="523">
        <f>B39</f>
        <v>81</v>
      </c>
      <c r="T39" s="287">
        <f>$A39</f>
        <v>6</v>
      </c>
      <c r="U39" s="287">
        <v>1</v>
      </c>
      <c r="V39" s="287">
        <f>$A39</f>
        <v>6</v>
      </c>
      <c r="W39" s="449"/>
      <c r="X39" s="307"/>
      <c r="Y39" s="307"/>
      <c r="Z39" s="307"/>
      <c r="AA39" s="307"/>
      <c r="AB39" s="307"/>
      <c r="AC39" s="307"/>
      <c r="AD39" s="450"/>
      <c r="AE39" s="450"/>
      <c r="AF39" s="450"/>
      <c r="AH39" s="280" t="e">
        <f>IF(AND(T39&gt;16,P39&gt;=6200),"1",LOOKUP(T39,Y$5:AO$5,Y$6:AO$6))</f>
        <v>#N/A</v>
      </c>
      <c r="AI39" s="280" t="e">
        <f>LOOKUP(Q39,Y$8:AD$8,Y$9:AD$9)</f>
        <v>#N/A</v>
      </c>
      <c r="AJ39" s="404">
        <v>505</v>
      </c>
      <c r="AK39" s="231"/>
    </row>
    <row r="40" spans="1:37" s="280" customFormat="1" ht="13.2" customHeight="1" x14ac:dyDescent="0.35">
      <c r="A40" s="686"/>
      <c r="B40" s="523"/>
      <c r="C40" s="723" t="str">
        <f>VLOOKUP(B39,Уч!$A$2:$L$34,5,FALSE)</f>
        <v xml:space="preserve">Челябинская область  </v>
      </c>
      <c r="D40" s="528" t="str">
        <f>VLOOKUP(B39,Уч!$A$2:$L$34,4,FALSE)</f>
        <v>КМС</v>
      </c>
      <c r="E40" s="509" t="s">
        <v>25</v>
      </c>
      <c r="F40" s="672">
        <f>VLOOKUP($B39,'100 м 1'!$C$18:$I$87,6,FALSE)</f>
        <v>0.1</v>
      </c>
      <c r="G40" s="672" t="e">
        <f>VLOOKUP($B39,'длина 2 '!$C$16:$O$54,12,FALSE)</f>
        <v>#N/A</v>
      </c>
      <c r="H40" s="523"/>
      <c r="I40" s="672"/>
      <c r="J40" s="673"/>
      <c r="K40" s="672">
        <f>VLOOKUP($B39,'1cб_р'!$C$17:$I$67,6,FALSE)</f>
        <v>-1</v>
      </c>
      <c r="L40" s="672"/>
      <c r="M40" s="672"/>
      <c r="N40" s="523"/>
      <c r="O40" s="523"/>
      <c r="P40" s="695"/>
      <c r="Q40" s="674"/>
      <c r="R40" s="694" t="e">
        <f>CONCATENATE(AH39,"+",AI39,"+",5)</f>
        <v>#N/A</v>
      </c>
      <c r="S40" s="523">
        <f>B39</f>
        <v>81</v>
      </c>
      <c r="T40" s="287">
        <f>$A39</f>
        <v>6</v>
      </c>
      <c r="U40" s="287">
        <v>2</v>
      </c>
      <c r="V40" s="287">
        <f>$A39</f>
        <v>6</v>
      </c>
      <c r="W40" s="449"/>
      <c r="X40" s="307"/>
      <c r="Y40" s="307"/>
      <c r="Z40" s="307"/>
      <c r="AA40" s="307"/>
      <c r="AB40" s="307"/>
      <c r="AC40" s="307"/>
      <c r="AD40" s="450"/>
      <c r="AE40" s="450"/>
      <c r="AF40" s="450"/>
      <c r="AH40" s="231"/>
      <c r="AI40" s="231"/>
      <c r="AJ40" s="404">
        <v>505</v>
      </c>
      <c r="AK40" s="231"/>
    </row>
    <row r="41" spans="1:37" s="280" customFormat="1" ht="13.2" customHeight="1" x14ac:dyDescent="0.35">
      <c r="A41" s="686"/>
      <c r="B41" s="523"/>
      <c r="C41" s="724" t="str">
        <f>VLOOKUP(B39,Уч!$A$2:$L$34,7,FALSE)</f>
        <v>МБУ СШОР № 2 по легкой атлетике имени Л.Н.Мосеева г.Челябинск, УралГУФК</v>
      </c>
      <c r="D41" s="528"/>
      <c r="E41" s="509" t="s">
        <v>29</v>
      </c>
      <c r="F41" s="523">
        <f>VLOOKUP($B39,'100 м 1'!$C$18:$I$87,7,FALSE)</f>
        <v>711</v>
      </c>
      <c r="G41" s="523" t="e">
        <f>VLOOKUP($B39,'длина 2 '!$C$16:$O$54,13,FALSE)</f>
        <v>#N/A</v>
      </c>
      <c r="H41" s="523" t="e">
        <f>VLOOKUP($B39,'ядро 2'!$C$16:$K$60,9,FALSE)</f>
        <v>#N/A</v>
      </c>
      <c r="I41" s="523" t="e">
        <f>VLOOKUP($B39,'высота 2'!$C$16:$AF$57,30,)</f>
        <v>#N/A</v>
      </c>
      <c r="J41" s="526">
        <f>VLOOKUP($B39,'4_р'!$C$17:$H$73,6,FALSE)</f>
        <v>757</v>
      </c>
      <c r="K41" s="523">
        <f>VLOOKUP($B39,'1cб_р'!$C$17:$I$67,7,FALSE)</f>
        <v>614</v>
      </c>
      <c r="L41" s="523">
        <f>VLOOKUP($B39,Дс_р!$C$16:$K$70,9,FALSE)</f>
        <v>522</v>
      </c>
      <c r="M41" s="523">
        <f>VLOOKUP($B39,Ш_р!$C$15:$AF$69,30,FALSE)</f>
        <v>617</v>
      </c>
      <c r="N41" s="523">
        <f>VLOOKUP($B39,К_р!$C$15:$K$68,9,FALSE)</f>
        <v>548</v>
      </c>
      <c r="O41" s="523">
        <f>VLOOKUP($B39,'15_р'!$C$17:$H$86,6,FALSE)</f>
        <v>702</v>
      </c>
      <c r="P41" s="695"/>
      <c r="Q41" s="650"/>
      <c r="R41" s="695"/>
      <c r="S41" s="523">
        <f>B39</f>
        <v>81</v>
      </c>
      <c r="T41" s="287">
        <f>$A39</f>
        <v>6</v>
      </c>
      <c r="U41" s="287">
        <v>3</v>
      </c>
      <c r="V41" s="287">
        <f>$A39</f>
        <v>6</v>
      </c>
      <c r="W41" s="449"/>
      <c r="X41" s="307"/>
      <c r="Y41" s="307"/>
      <c r="Z41" s="307"/>
      <c r="AA41" s="307"/>
      <c r="AB41" s="307"/>
      <c r="AC41" s="307"/>
      <c r="AD41" s="450"/>
      <c r="AE41" s="450"/>
      <c r="AF41" s="450"/>
      <c r="AH41" s="231"/>
      <c r="AI41" s="231"/>
      <c r="AJ41" s="404">
        <v>505</v>
      </c>
      <c r="AK41" s="231"/>
    </row>
    <row r="42" spans="1:37" s="280" customFormat="1" ht="13.2" customHeight="1" x14ac:dyDescent="0.35">
      <c r="A42" s="686"/>
      <c r="B42" s="523"/>
      <c r="C42" s="723" t="str">
        <f>VLOOKUP(B39,Уч!$A$2:$L$34,11,FALSE)</f>
        <v>Пугач С.В.</v>
      </c>
      <c r="D42" s="528"/>
      <c r="E42" s="509" t="s">
        <v>276</v>
      </c>
      <c r="F42" s="523">
        <f>F41</f>
        <v>711</v>
      </c>
      <c r="G42" s="523" t="e">
        <f>F42+G41</f>
        <v>#N/A</v>
      </c>
      <c r="H42" s="523" t="e">
        <f>G42+H41</f>
        <v>#N/A</v>
      </c>
      <c r="I42" s="523" t="e">
        <f>H42+I41</f>
        <v>#N/A</v>
      </c>
      <c r="J42" s="526" t="e">
        <f>SUM($F41:J41)</f>
        <v>#N/A</v>
      </c>
      <c r="K42" s="523" t="e">
        <f>SUM($F41:$K41)</f>
        <v>#N/A</v>
      </c>
      <c r="L42" s="523" t="e">
        <f>K42+L41</f>
        <v>#N/A</v>
      </c>
      <c r="M42" s="523" t="e">
        <f>L42+M41</f>
        <v>#N/A</v>
      </c>
      <c r="N42" s="523" t="e">
        <f>SUM($F41:$N41)</f>
        <v>#N/A</v>
      </c>
      <c r="O42" s="523" t="e">
        <f>SUM($F41:$O41)</f>
        <v>#N/A</v>
      </c>
      <c r="P42" s="695"/>
      <c r="Q42" s="650"/>
      <c r="R42" s="695"/>
      <c r="S42" s="523">
        <f>B39</f>
        <v>81</v>
      </c>
      <c r="T42" s="287">
        <f>$A39</f>
        <v>6</v>
      </c>
      <c r="U42" s="287">
        <v>4</v>
      </c>
      <c r="V42" s="287">
        <f>$A39</f>
        <v>6</v>
      </c>
      <c r="W42" s="372">
        <f t="shared" ref="W42:AF42" si="5">F42</f>
        <v>711</v>
      </c>
      <c r="X42" s="372" t="e">
        <f t="shared" si="5"/>
        <v>#N/A</v>
      </c>
      <c r="Y42" s="372" t="e">
        <f t="shared" si="5"/>
        <v>#N/A</v>
      </c>
      <c r="Z42" s="372" t="e">
        <f t="shared" si="5"/>
        <v>#N/A</v>
      </c>
      <c r="AA42" s="372" t="e">
        <f t="shared" si="5"/>
        <v>#N/A</v>
      </c>
      <c r="AB42" s="372" t="e">
        <f t="shared" si="5"/>
        <v>#N/A</v>
      </c>
      <c r="AC42" s="372" t="e">
        <f t="shared" si="5"/>
        <v>#N/A</v>
      </c>
      <c r="AD42" s="372" t="e">
        <f t="shared" si="5"/>
        <v>#N/A</v>
      </c>
      <c r="AE42" s="372" t="e">
        <f t="shared" si="5"/>
        <v>#N/A</v>
      </c>
      <c r="AF42" s="372" t="e">
        <f t="shared" si="5"/>
        <v>#N/A</v>
      </c>
      <c r="AH42" s="231"/>
      <c r="AI42" s="231"/>
      <c r="AJ42" s="404">
        <v>505</v>
      </c>
      <c r="AK42" s="231"/>
    </row>
    <row r="43" spans="1:37" s="280" customFormat="1" ht="13.2" customHeight="1" x14ac:dyDescent="0.25">
      <c r="A43" s="625"/>
      <c r="B43" s="698"/>
      <c r="C43" s="691"/>
      <c r="D43" s="699"/>
      <c r="E43" s="692" t="s">
        <v>59</v>
      </c>
      <c r="F43" s="698" t="e">
        <f>RANK(F42,$W$14:$W$68,0)</f>
        <v>#N/A</v>
      </c>
      <c r="G43" s="698" t="e">
        <f>RANK(G42,$X$14:$X$68,0)</f>
        <v>#N/A</v>
      </c>
      <c r="H43" s="698" t="e">
        <f>RANK(H42,$Y$14:$Y$68,0)</f>
        <v>#N/A</v>
      </c>
      <c r="I43" s="698" t="e">
        <f>RANK(I42,$Z$14:$Z$68,0)</f>
        <v>#N/A</v>
      </c>
      <c r="J43" s="700" t="e">
        <f>RANK(J42,$AA$14:$AA$68,0)</f>
        <v>#N/A</v>
      </c>
      <c r="K43" s="698" t="e">
        <f>RANK(K42,$AB$14:$AB$68,0)</f>
        <v>#N/A</v>
      </c>
      <c r="L43" s="698" t="e">
        <f>RANK(L42,$AC$14:$AC$68,0)</f>
        <v>#N/A</v>
      </c>
      <c r="M43" s="698" t="e">
        <f>RANK(M42,$AD$14:$AD$68,0)</f>
        <v>#N/A</v>
      </c>
      <c r="N43" s="698" t="e">
        <f>RANK(N42,$AE$14:$AE$68,0)</f>
        <v>#N/A</v>
      </c>
      <c r="O43" s="698" t="e">
        <f>RANK(O42,$AF$14:$AF$68,0)</f>
        <v>#N/A</v>
      </c>
      <c r="P43" s="648"/>
      <c r="Q43" s="701"/>
      <c r="R43" s="696"/>
      <c r="S43" s="675">
        <f>B39</f>
        <v>81</v>
      </c>
      <c r="T43" s="287">
        <f>$A39</f>
        <v>6</v>
      </c>
      <c r="U43" s="287">
        <v>5</v>
      </c>
      <c r="V43" s="287">
        <f>$A39</f>
        <v>6</v>
      </c>
      <c r="W43" s="449"/>
      <c r="X43" s="307"/>
      <c r="Y43" s="307"/>
      <c r="Z43" s="307"/>
      <c r="AA43" s="307"/>
      <c r="AB43" s="307"/>
      <c r="AC43" s="307"/>
      <c r="AD43" s="450"/>
      <c r="AE43" s="450"/>
      <c r="AF43" s="450"/>
      <c r="AH43" s="231"/>
      <c r="AI43" s="231"/>
      <c r="AJ43" s="404">
        <v>505</v>
      </c>
      <c r="AK43" s="231"/>
    </row>
    <row r="44" spans="1:37" s="280" customFormat="1" ht="13.2" customHeight="1" x14ac:dyDescent="0.35">
      <c r="A44" s="686">
        <v>7</v>
      </c>
      <c r="B44" s="523">
        <v>69</v>
      </c>
      <c r="C44" s="690" t="e">
        <f>VLOOKUP(B44,Уч!$A$2:$L$34,2,FALSE)</f>
        <v>#N/A</v>
      </c>
      <c r="D44" s="528" t="e">
        <f>VLOOKUP(B44,Уч!$A$2:$L$34,3,FALSE)</f>
        <v>#N/A</v>
      </c>
      <c r="E44" s="509" t="s">
        <v>19</v>
      </c>
      <c r="F44" s="670" t="e">
        <f>VLOOKUP($B44,'100 м 1'!$C$18:$I$87,5,FALSE)</f>
        <v>#N/A</v>
      </c>
      <c r="G44" s="670" t="e">
        <f>VLOOKUP($B44,'длина 2 '!$C$16:$O$54,11,FALSE)</f>
        <v>#N/A</v>
      </c>
      <c r="H44" s="670" t="e">
        <f>VLOOKUP($B44,'ядро 2'!$C$16:$K$60,8,FALSE)</f>
        <v>#N/A</v>
      </c>
      <c r="I44" s="670">
        <f>VLOOKUP($B44,'высота 2'!$C$16:$AF$57,29,FALSE)</f>
        <v>1.85</v>
      </c>
      <c r="J44" s="671">
        <f>VLOOKUP($B44,'4_р'!$C$17:$H$73,5,FALSE)</f>
        <v>52.67</v>
      </c>
      <c r="K44" s="670">
        <f>VLOOKUP($B44,'1cб_р'!$C$17:$I$67,5,FALSE)</f>
        <v>17.38</v>
      </c>
      <c r="L44" s="670">
        <f>VLOOKUP($B44,Дс_р!$C$16:$K$70,8,FALSE)</f>
        <v>30.38</v>
      </c>
      <c r="M44" s="670">
        <f>VLOOKUP($B44,Ш_р!$C$15:$AF$69,29,FALSE)</f>
        <v>4</v>
      </c>
      <c r="N44" s="670">
        <f>VLOOKUP($B44,К_р!$C$15:$K$68,8,FALSE)</f>
        <v>42.56</v>
      </c>
      <c r="O44" s="523" t="str">
        <f>VLOOKUP($B44,'15_р'!$C$17:$H$86,5,FALSE)</f>
        <v>4:13.03</v>
      </c>
      <c r="P44" s="695" t="e">
        <f>SUM(F46:O46)</f>
        <v>#N/A</v>
      </c>
      <c r="Q44" s="522" t="e">
        <f>LOOKUP(P44,Y$1:AH$1,Y$2:AH$2)</f>
        <v>#N/A</v>
      </c>
      <c r="R44" s="694" t="e">
        <f>AH44+AI44+5</f>
        <v>#N/A</v>
      </c>
      <c r="S44" s="523">
        <f>B44</f>
        <v>69</v>
      </c>
      <c r="T44" s="287">
        <f>$A44</f>
        <v>7</v>
      </c>
      <c r="U44" s="287">
        <v>1</v>
      </c>
      <c r="V44" s="287">
        <f>$A44</f>
        <v>7</v>
      </c>
      <c r="W44" s="449"/>
      <c r="X44" s="307"/>
      <c r="Y44" s="307"/>
      <c r="Z44" s="307"/>
      <c r="AA44" s="307"/>
      <c r="AB44" s="307"/>
      <c r="AC44" s="307"/>
      <c r="AD44" s="450"/>
      <c r="AE44" s="450"/>
      <c r="AF44" s="450"/>
      <c r="AH44" s="280" t="e">
        <f>IF(AND(T44&gt;16,P44&gt;=6200),"1",LOOKUP(T44,Y$5:AO$5,Y$6:AO$6))</f>
        <v>#N/A</v>
      </c>
      <c r="AI44" s="280" t="e">
        <f>LOOKUP(Q44,Y$8:AD$8,Y$9:AD$9)</f>
        <v>#N/A</v>
      </c>
      <c r="AJ44" s="404">
        <v>449</v>
      </c>
      <c r="AK44" s="231"/>
    </row>
    <row r="45" spans="1:37" s="280" customFormat="1" ht="13.2" customHeight="1" x14ac:dyDescent="0.35">
      <c r="A45" s="686"/>
      <c r="B45" s="523"/>
      <c r="C45" s="723" t="e">
        <f>VLOOKUP(B44,Уч!$A$2:$L$34,5,FALSE)</f>
        <v>#N/A</v>
      </c>
      <c r="D45" s="525" t="e">
        <f>VLOOKUP(B44,Уч!$A$2:$L$34,4,FALSE)</f>
        <v>#N/A</v>
      </c>
      <c r="E45" s="509" t="s">
        <v>25</v>
      </c>
      <c r="F45" s="672" t="e">
        <f>VLOOKUP($B44,'100 м 1'!$C$18:$I$87,6,FALSE)</f>
        <v>#N/A</v>
      </c>
      <c r="G45" s="672" t="e">
        <f>VLOOKUP($B44,'длина 2 '!$C$16:$O$54,12,FALSE)</f>
        <v>#N/A</v>
      </c>
      <c r="H45" s="523"/>
      <c r="I45" s="672"/>
      <c r="J45" s="673"/>
      <c r="K45" s="672">
        <f>VLOOKUP($B44,'1cб_р'!$C$17:$I$67,6,FALSE)</f>
        <v>0</v>
      </c>
      <c r="L45" s="672"/>
      <c r="M45" s="672"/>
      <c r="N45" s="523"/>
      <c r="O45" s="523"/>
      <c r="P45" s="695"/>
      <c r="Q45" s="674"/>
      <c r="R45" s="694" t="e">
        <f>CONCATENATE(AH44,"+",AI44,"+",5)</f>
        <v>#N/A</v>
      </c>
      <c r="S45" s="523">
        <f>B44</f>
        <v>69</v>
      </c>
      <c r="T45" s="287">
        <f>$A44</f>
        <v>7</v>
      </c>
      <c r="U45" s="287">
        <v>2</v>
      </c>
      <c r="V45" s="287">
        <f>$A44</f>
        <v>7</v>
      </c>
      <c r="W45" s="449"/>
      <c r="X45" s="307"/>
      <c r="Y45" s="307"/>
      <c r="Z45" s="307"/>
      <c r="AA45" s="307"/>
      <c r="AB45" s="307"/>
      <c r="AC45" s="307"/>
      <c r="AD45" s="450"/>
      <c r="AE45" s="450"/>
      <c r="AF45" s="450"/>
      <c r="AH45" s="231"/>
      <c r="AI45" s="231"/>
      <c r="AJ45" s="404">
        <v>449</v>
      </c>
      <c r="AK45" s="231"/>
    </row>
    <row r="46" spans="1:37" s="280" customFormat="1" ht="13.2" customHeight="1" x14ac:dyDescent="0.35">
      <c r="A46" s="686"/>
      <c r="B46" s="523"/>
      <c r="C46" s="724" t="e">
        <f>VLOOKUP(B44,Уч!$A$2:$L$34,7,FALSE)</f>
        <v>#N/A</v>
      </c>
      <c r="D46" s="525"/>
      <c r="E46" s="509" t="s">
        <v>29</v>
      </c>
      <c r="F46" s="523" t="e">
        <f>VLOOKUP($B44,'100 м 1'!$C$18:$I$87,7,FALSE)</f>
        <v>#N/A</v>
      </c>
      <c r="G46" s="523" t="e">
        <f>VLOOKUP($B44,'длина 2 '!$C$16:$O$54,13,FALSE)</f>
        <v>#N/A</v>
      </c>
      <c r="H46" s="523" t="e">
        <f>VLOOKUP($B44,'ядро 2'!$C$16:$K$60,9,FALSE)</f>
        <v>#N/A</v>
      </c>
      <c r="I46" s="523">
        <f>VLOOKUP($B44,'высота 2'!$C$16:$AF$57,30,)</f>
        <v>0</v>
      </c>
      <c r="J46" s="526">
        <f>VLOOKUP($B44,'4_р'!$C$17:$H$73,6,FALSE)</f>
        <v>696</v>
      </c>
      <c r="K46" s="523">
        <f>VLOOKUP($B44,'1cб_р'!$C$17:$I$67,7,FALSE)</f>
        <v>585</v>
      </c>
      <c r="L46" s="523">
        <f>VLOOKUP($B44,Дс_р!$C$16:$K$70,9,FALSE)</f>
        <v>472</v>
      </c>
      <c r="M46" s="523">
        <f>VLOOKUP($B44,Ш_р!$C$15:$AF$69,30,FALSE)</f>
        <v>617</v>
      </c>
      <c r="N46" s="523">
        <f>VLOOKUP($B44,К_р!$C$15:$K$68,9,FALSE)</f>
        <v>479</v>
      </c>
      <c r="O46" s="523">
        <f>VLOOKUP($B44,'15_р'!$C$17:$H$86,6,FALSE)</f>
        <v>860</v>
      </c>
      <c r="P46" s="695"/>
      <c r="Q46" s="676"/>
      <c r="R46" s="695"/>
      <c r="S46" s="523">
        <f>B44</f>
        <v>69</v>
      </c>
      <c r="T46" s="287">
        <f>$A44</f>
        <v>7</v>
      </c>
      <c r="U46" s="287">
        <v>3</v>
      </c>
      <c r="V46" s="287">
        <f>$A44</f>
        <v>7</v>
      </c>
      <c r="W46" s="449"/>
      <c r="X46" s="307"/>
      <c r="Y46" s="307"/>
      <c r="Z46" s="307"/>
      <c r="AA46" s="307"/>
      <c r="AB46" s="307"/>
      <c r="AC46" s="307"/>
      <c r="AD46" s="450"/>
      <c r="AE46" s="450"/>
      <c r="AF46" s="450"/>
      <c r="AH46" s="231"/>
      <c r="AI46" s="231"/>
      <c r="AJ46" s="404">
        <v>449</v>
      </c>
      <c r="AK46" s="231"/>
    </row>
    <row r="47" spans="1:37" s="280" customFormat="1" ht="13.2" customHeight="1" x14ac:dyDescent="0.35">
      <c r="A47" s="686"/>
      <c r="B47" s="523"/>
      <c r="C47" s="723" t="e">
        <f>VLOOKUP(B44,Уч!$A$2:$L$34,11,FALSE)</f>
        <v>#N/A</v>
      </c>
      <c r="D47" s="525"/>
      <c r="E47" s="509" t="s">
        <v>276</v>
      </c>
      <c r="F47" s="523" t="e">
        <f>F46</f>
        <v>#N/A</v>
      </c>
      <c r="G47" s="523" t="e">
        <f>F47+G46</f>
        <v>#N/A</v>
      </c>
      <c r="H47" s="523" t="e">
        <f>G47+H46</f>
        <v>#N/A</v>
      </c>
      <c r="I47" s="523" t="e">
        <f>H47+I46</f>
        <v>#N/A</v>
      </c>
      <c r="J47" s="526" t="e">
        <f>SUM($F46:J46)</f>
        <v>#N/A</v>
      </c>
      <c r="K47" s="523" t="e">
        <f>SUM($F46:$K46)</f>
        <v>#N/A</v>
      </c>
      <c r="L47" s="523" t="e">
        <f>K47+L46</f>
        <v>#N/A</v>
      </c>
      <c r="M47" s="523" t="e">
        <f>L47+M46</f>
        <v>#N/A</v>
      </c>
      <c r="N47" s="523" t="e">
        <f>SUM($F46:$N46)</f>
        <v>#N/A</v>
      </c>
      <c r="O47" s="523" t="e">
        <f>SUM($F46:$O46)</f>
        <v>#N/A</v>
      </c>
      <c r="P47" s="695"/>
      <c r="Q47" s="674"/>
      <c r="R47" s="695"/>
      <c r="S47" s="523">
        <f>B44</f>
        <v>69</v>
      </c>
      <c r="T47" s="287">
        <f>$A44</f>
        <v>7</v>
      </c>
      <c r="U47" s="287">
        <v>4</v>
      </c>
      <c r="V47" s="287">
        <f>$A44</f>
        <v>7</v>
      </c>
      <c r="W47" s="372" t="e">
        <f t="shared" ref="W47:AF47" si="6">F47</f>
        <v>#N/A</v>
      </c>
      <c r="X47" s="372" t="e">
        <f t="shared" si="6"/>
        <v>#N/A</v>
      </c>
      <c r="Y47" s="372" t="e">
        <f t="shared" si="6"/>
        <v>#N/A</v>
      </c>
      <c r="Z47" s="372" t="e">
        <f t="shared" si="6"/>
        <v>#N/A</v>
      </c>
      <c r="AA47" s="372" t="e">
        <f t="shared" si="6"/>
        <v>#N/A</v>
      </c>
      <c r="AB47" s="372" t="e">
        <f t="shared" si="6"/>
        <v>#N/A</v>
      </c>
      <c r="AC47" s="372" t="e">
        <f t="shared" si="6"/>
        <v>#N/A</v>
      </c>
      <c r="AD47" s="372" t="e">
        <f t="shared" si="6"/>
        <v>#N/A</v>
      </c>
      <c r="AE47" s="372" t="e">
        <f t="shared" si="6"/>
        <v>#N/A</v>
      </c>
      <c r="AF47" s="372" t="e">
        <f t="shared" si="6"/>
        <v>#N/A</v>
      </c>
      <c r="AH47" s="231"/>
      <c r="AI47" s="231"/>
      <c r="AJ47" s="404">
        <v>449</v>
      </c>
      <c r="AK47" s="231"/>
    </row>
    <row r="48" spans="1:37" s="280" customFormat="1" ht="13.2" customHeight="1" x14ac:dyDescent="0.25">
      <c r="A48" s="625"/>
      <c r="B48" s="698"/>
      <c r="C48" s="691"/>
      <c r="D48" s="703"/>
      <c r="E48" s="692" t="s">
        <v>59</v>
      </c>
      <c r="F48" s="698" t="e">
        <f>RANK(F47,$W$14:$W$68,0)</f>
        <v>#N/A</v>
      </c>
      <c r="G48" s="698" t="e">
        <f>RANK(G47,$X$14:$X$68,0)</f>
        <v>#N/A</v>
      </c>
      <c r="H48" s="698" t="e">
        <f>RANK(H47,$Y$14:$Y$68,0)</f>
        <v>#N/A</v>
      </c>
      <c r="I48" s="698" t="e">
        <f>RANK(I47,$Z$14:$Z$68,0)</f>
        <v>#N/A</v>
      </c>
      <c r="J48" s="700" t="e">
        <f>RANK(J47,$AA$14:$AA$68,0)</f>
        <v>#N/A</v>
      </c>
      <c r="K48" s="698" t="e">
        <f>RANK(K47,$AB$14:$AB$68,0)</f>
        <v>#N/A</v>
      </c>
      <c r="L48" s="698" t="e">
        <f>RANK(L47,$AC$14:$AC$68,0)</f>
        <v>#N/A</v>
      </c>
      <c r="M48" s="698" t="e">
        <f>RANK(M47,$AD$14:$AD$68,0)</f>
        <v>#N/A</v>
      </c>
      <c r="N48" s="698" t="e">
        <f>RANK(N47,$AE$14:$AE$68,0)</f>
        <v>#N/A</v>
      </c>
      <c r="O48" s="698" t="e">
        <f>RANK(O47,$AF$14:$AF$68,0)</f>
        <v>#N/A</v>
      </c>
      <c r="P48" s="648"/>
      <c r="Q48" s="701"/>
      <c r="R48" s="696"/>
      <c r="S48" s="675">
        <f>B44</f>
        <v>69</v>
      </c>
      <c r="T48" s="287">
        <f>$A44</f>
        <v>7</v>
      </c>
      <c r="U48" s="287">
        <v>5</v>
      </c>
      <c r="V48" s="287">
        <f>$A44</f>
        <v>7</v>
      </c>
      <c r="W48" s="449"/>
      <c r="X48" s="307"/>
      <c r="Y48" s="307"/>
      <c r="Z48" s="307"/>
      <c r="AA48" s="307"/>
      <c r="AB48" s="307"/>
      <c r="AC48" s="307"/>
      <c r="AD48" s="450"/>
      <c r="AE48" s="450"/>
      <c r="AF48" s="450"/>
      <c r="AH48" s="231"/>
      <c r="AI48" s="231"/>
      <c r="AJ48" s="404">
        <v>449</v>
      </c>
      <c r="AK48" s="231"/>
    </row>
    <row r="49" spans="1:51" s="280" customFormat="1" ht="13.2" customHeight="1" x14ac:dyDescent="0.35">
      <c r="A49" s="686">
        <v>8</v>
      </c>
      <c r="B49" s="523">
        <v>78</v>
      </c>
      <c r="C49" s="690" t="str">
        <f>VLOOKUP(B49,Уч!$A$2:$L$34,2,FALSE)</f>
        <v>Слаква Максим</v>
      </c>
      <c r="D49" s="528" t="str">
        <f>VLOOKUP(B49,Уч!$A$2:$L$34,3,FALSE)</f>
        <v>10.05.1998</v>
      </c>
      <c r="E49" s="509" t="s">
        <v>19</v>
      </c>
      <c r="F49" s="670">
        <f>VLOOKUP($B49,'100 м 1'!$C$18:$I$87,5,FALSE)</f>
        <v>11.6</v>
      </c>
      <c r="G49" s="670">
        <f>VLOOKUP($B49,'длина 2 '!$C$16:$O$54,11,FALSE)</f>
        <v>6.24</v>
      </c>
      <c r="H49" s="670">
        <f>VLOOKUP($B49,'ядро 2'!$C$16:$K$60,8,FALSE)</f>
        <v>12.27</v>
      </c>
      <c r="I49" s="670">
        <f>VLOOKUP($B49,'высота 2'!$C$16:$AF$57,29,FALSE)</f>
        <v>1.79</v>
      </c>
      <c r="J49" s="671">
        <f>VLOOKUP($B49,'4_р'!$C$17:$H$73,5,FALSE)</f>
        <v>50.5</v>
      </c>
      <c r="K49" s="670">
        <f>VLOOKUP($B49,'1cб_р'!$C$17:$I$67,5,FALSE)</f>
        <v>16.29</v>
      </c>
      <c r="L49" s="670">
        <f>VLOOKUP($B49,Дс_р!$C$16:$K$70,8,FALSE)</f>
        <v>23.43</v>
      </c>
      <c r="M49" s="670">
        <f>VLOOKUP($B49,Ш_р!$C$15:$AF$69,29,FALSE)</f>
        <v>3.9</v>
      </c>
      <c r="N49" s="670">
        <f>VLOOKUP($B49,К_р!$C$15:$K$68,8,FALSE)</f>
        <v>30.29</v>
      </c>
      <c r="O49" s="523" t="str">
        <f>VLOOKUP($B49,'15_р'!$C$17:$H$86,5,FALSE)</f>
        <v>4:51.28</v>
      </c>
      <c r="P49" s="695">
        <f>SUM(F51:O51)</f>
        <v>4688</v>
      </c>
      <c r="Q49" s="522">
        <f>LOOKUP(P49,Y$1:AH$1,Y$2:AH$2)</f>
        <v>2</v>
      </c>
      <c r="R49" s="694">
        <f>AH49+AI49+5</f>
        <v>15</v>
      </c>
      <c r="S49" s="523">
        <f>B49</f>
        <v>78</v>
      </c>
      <c r="T49" s="287">
        <f>$A49</f>
        <v>8</v>
      </c>
      <c r="U49" s="287">
        <v>1</v>
      </c>
      <c r="V49" s="287" t="s">
        <v>162</v>
      </c>
      <c r="W49" s="492"/>
      <c r="X49" s="492"/>
      <c r="Y49" s="492"/>
      <c r="Z49" s="492"/>
      <c r="AA49" s="492"/>
      <c r="AB49" s="492"/>
      <c r="AC49" s="492"/>
      <c r="AD49" s="492"/>
      <c r="AE49" s="492"/>
      <c r="AF49" s="492"/>
      <c r="AG49" s="287"/>
      <c r="AH49" s="280">
        <f>IF(AND(T49&gt;16,P49&gt;=6200),"1",LOOKUP(T49,Y$5:AO$5,Y$6:AO$6))</f>
        <v>10</v>
      </c>
      <c r="AI49" s="280">
        <f>LOOKUP(Q49,Y$8:AD$8,Y$9:AD$9)</f>
        <v>0</v>
      </c>
      <c r="AJ49" s="404">
        <v>319</v>
      </c>
      <c r="AK49" s="231"/>
      <c r="AL49" s="287"/>
      <c r="AM49" s="287"/>
      <c r="AN49" s="287"/>
      <c r="AO49" s="287"/>
    </row>
    <row r="50" spans="1:51" s="280" customFormat="1" ht="13.2" customHeight="1" x14ac:dyDescent="0.35">
      <c r="A50" s="686"/>
      <c r="B50" s="523"/>
      <c r="C50" s="723" t="str">
        <f>VLOOKUP(B49,Уч!$A$2:$L$34,5,FALSE)</f>
        <v xml:space="preserve">Ставропольский край  </v>
      </c>
      <c r="D50" s="528" t="str">
        <f>VLOOKUP(B49,Уч!$A$2:$L$34,4,FALSE)</f>
        <v>КМС</v>
      </c>
      <c r="E50" s="509" t="s">
        <v>25</v>
      </c>
      <c r="F50" s="672">
        <f>VLOOKUP($B49,'100 м 1'!$C$18:$I$87,6,FALSE)</f>
        <v>0.8</v>
      </c>
      <c r="G50" s="672">
        <f>VLOOKUP($B49,'длина 2 '!$C$16:$O$54,12,FALSE)</f>
        <v>0.3</v>
      </c>
      <c r="H50" s="523"/>
      <c r="I50" s="672"/>
      <c r="J50" s="673"/>
      <c r="K50" s="672">
        <f>VLOOKUP($B49,'1cб_р'!$C$17:$I$67,6,FALSE)</f>
        <v>-1</v>
      </c>
      <c r="L50" s="672"/>
      <c r="M50" s="672"/>
      <c r="N50" s="523"/>
      <c r="O50" s="523"/>
      <c r="P50" s="697"/>
      <c r="Q50" s="677"/>
      <c r="R50" s="694" t="str">
        <f>CONCATENATE(AH49,"+",AI49,"+",5)</f>
        <v>10+0+5</v>
      </c>
      <c r="S50" s="523">
        <f>B49</f>
        <v>78</v>
      </c>
      <c r="T50" s="287">
        <f>$A49</f>
        <v>8</v>
      </c>
      <c r="U50" s="287">
        <v>2</v>
      </c>
      <c r="V50" s="287" t="s">
        <v>162</v>
      </c>
      <c r="W50" s="492"/>
      <c r="X50" s="492"/>
      <c r="Y50" s="492"/>
      <c r="Z50" s="492"/>
      <c r="AA50" s="492"/>
      <c r="AB50" s="492"/>
      <c r="AC50" s="492"/>
      <c r="AD50" s="492"/>
      <c r="AE50" s="492"/>
      <c r="AF50" s="492"/>
      <c r="AG50" s="287"/>
      <c r="AH50" s="231"/>
      <c r="AI50" s="231"/>
      <c r="AJ50" s="404">
        <v>319</v>
      </c>
      <c r="AK50" s="231"/>
      <c r="AL50" s="287"/>
      <c r="AM50" s="287"/>
      <c r="AN50" s="287"/>
      <c r="AO50" s="287"/>
    </row>
    <row r="51" spans="1:51" s="280" customFormat="1" ht="13.2" customHeight="1" x14ac:dyDescent="0.35">
      <c r="A51" s="686"/>
      <c r="B51" s="523"/>
      <c r="C51" s="724" t="str">
        <f>VLOOKUP(B49,Уч!$A$2:$L$34,7,FALSE)</f>
        <v>ГБУ "СШОР по легкой атлетике"</v>
      </c>
      <c r="D51" s="528"/>
      <c r="E51" s="509" t="s">
        <v>29</v>
      </c>
      <c r="F51" s="523">
        <f>VLOOKUP($B49,'100 м 1'!$C$18:$I$87,7,FALSE)</f>
        <v>732</v>
      </c>
      <c r="G51" s="523">
        <f>VLOOKUP($B49,'длина 2 '!$C$16:$O$54,13,FALSE)</f>
        <v>0</v>
      </c>
      <c r="H51" s="523">
        <f>VLOOKUP($B49,'ядро 2'!$C$16:$K$60,9,FALSE)</f>
        <v>623</v>
      </c>
      <c r="I51" s="523">
        <f>VLOOKUP($B49,'высота 2'!$C$16:$AF$57,30,)</f>
        <v>0</v>
      </c>
      <c r="J51" s="526">
        <f>VLOOKUP($B49,'4_р'!$C$17:$H$73,6,FALSE)</f>
        <v>792</v>
      </c>
      <c r="K51" s="523">
        <f>VLOOKUP($B49,'1cб_р'!$C$17:$I$67,7,FALSE)</f>
        <v>700</v>
      </c>
      <c r="L51" s="523">
        <f>VLOOKUP($B49,Дс_р!$C$16:$K$70,9,FALSE)</f>
        <v>337</v>
      </c>
      <c r="M51" s="523">
        <f>VLOOKUP($B49,Ш_р!$C$15:$AF$69,30,FALSE)</f>
        <v>590</v>
      </c>
      <c r="N51" s="523">
        <f>VLOOKUP($B49,К_р!$C$15:$K$68,9,FALSE)</f>
        <v>303</v>
      </c>
      <c r="O51" s="523">
        <f>VLOOKUP($B49,'15_р'!$C$17:$H$86,6,FALSE)</f>
        <v>611</v>
      </c>
      <c r="P51" s="697"/>
      <c r="Q51" s="678"/>
      <c r="R51" s="695"/>
      <c r="S51" s="523">
        <f>B49</f>
        <v>78</v>
      </c>
      <c r="T51" s="287">
        <f>$A49</f>
        <v>8</v>
      </c>
      <c r="U51" s="287">
        <v>3</v>
      </c>
      <c r="V51" s="287" t="s">
        <v>162</v>
      </c>
      <c r="W51" s="492"/>
      <c r="X51" s="492"/>
      <c r="Y51" s="492"/>
      <c r="Z51" s="492"/>
      <c r="AA51" s="492"/>
      <c r="AB51" s="492"/>
      <c r="AC51" s="492"/>
      <c r="AD51" s="492"/>
      <c r="AE51" s="492"/>
      <c r="AF51" s="492"/>
      <c r="AG51" s="287"/>
      <c r="AH51" s="231"/>
      <c r="AI51" s="231"/>
      <c r="AJ51" s="404">
        <v>319</v>
      </c>
      <c r="AK51" s="231"/>
      <c r="AL51" s="287"/>
      <c r="AM51" s="287"/>
      <c r="AN51" s="287"/>
      <c r="AO51" s="287"/>
    </row>
    <row r="52" spans="1:51" s="280" customFormat="1" ht="13.2" customHeight="1" x14ac:dyDescent="0.35">
      <c r="A52" s="686"/>
      <c r="B52" s="523"/>
      <c r="C52" s="723" t="str">
        <f>VLOOKUP(B49,Уч!$A$2:$L$34,11,FALSE)</f>
        <v>Мирошниченко В.И., Журавлева Т.В.</v>
      </c>
      <c r="D52" s="528"/>
      <c r="E52" s="509" t="s">
        <v>276</v>
      </c>
      <c r="F52" s="523">
        <f>F51</f>
        <v>732</v>
      </c>
      <c r="G52" s="523">
        <f>F52+G51</f>
        <v>732</v>
      </c>
      <c r="H52" s="523">
        <f>G52+H51</f>
        <v>1355</v>
      </c>
      <c r="I52" s="523">
        <f>H52+I51</f>
        <v>1355</v>
      </c>
      <c r="J52" s="526">
        <f>SUM($F51:J51)</f>
        <v>2147</v>
      </c>
      <c r="K52" s="523">
        <f>SUM($F51:$K51)</f>
        <v>2847</v>
      </c>
      <c r="L52" s="523">
        <f>K52+L51</f>
        <v>3184</v>
      </c>
      <c r="M52" s="523">
        <f>L52+M51</f>
        <v>3774</v>
      </c>
      <c r="N52" s="523">
        <f>SUM($F51:$N51)</f>
        <v>4077</v>
      </c>
      <c r="O52" s="523">
        <f>SUM($F51:$O51)</f>
        <v>4688</v>
      </c>
      <c r="P52" s="697"/>
      <c r="Q52" s="677"/>
      <c r="R52" s="695"/>
      <c r="S52" s="523">
        <f>B49</f>
        <v>78</v>
      </c>
      <c r="T52" s="287">
        <f>$A49</f>
        <v>8</v>
      </c>
      <c r="U52" s="287">
        <v>4</v>
      </c>
      <c r="V52" s="287" t="s">
        <v>162</v>
      </c>
      <c r="W52" s="372">
        <f t="shared" ref="W52:AF52" si="7">F52</f>
        <v>732</v>
      </c>
      <c r="X52" s="372">
        <f t="shared" si="7"/>
        <v>732</v>
      </c>
      <c r="Y52" s="372">
        <f t="shared" si="7"/>
        <v>1355</v>
      </c>
      <c r="Z52" s="372">
        <f t="shared" si="7"/>
        <v>1355</v>
      </c>
      <c r="AA52" s="372">
        <f t="shared" si="7"/>
        <v>2147</v>
      </c>
      <c r="AB52" s="372">
        <f t="shared" si="7"/>
        <v>2847</v>
      </c>
      <c r="AC52" s="372">
        <f t="shared" si="7"/>
        <v>3184</v>
      </c>
      <c r="AD52" s="372">
        <f t="shared" si="7"/>
        <v>3774</v>
      </c>
      <c r="AE52" s="372">
        <f t="shared" si="7"/>
        <v>4077</v>
      </c>
      <c r="AF52" s="372">
        <f t="shared" si="7"/>
        <v>4688</v>
      </c>
      <c r="AG52" s="287"/>
      <c r="AH52" s="231"/>
      <c r="AI52" s="231"/>
      <c r="AJ52" s="404">
        <v>319</v>
      </c>
      <c r="AK52" s="231"/>
      <c r="AL52" s="287"/>
      <c r="AM52" s="287"/>
      <c r="AN52" s="287"/>
      <c r="AO52" s="287"/>
    </row>
    <row r="53" spans="1:51" s="280" customFormat="1" ht="13.2" customHeight="1" x14ac:dyDescent="0.25">
      <c r="A53" s="625"/>
      <c r="B53" s="698"/>
      <c r="C53" s="691"/>
      <c r="D53" s="699"/>
      <c r="E53" s="692" t="s">
        <v>59</v>
      </c>
      <c r="F53" s="698" t="e">
        <f>RANK(F52,$W$14:$W$68,0)</f>
        <v>#N/A</v>
      </c>
      <c r="G53" s="698" t="e">
        <f>RANK(G52,$X$14:$X$68,0)</f>
        <v>#N/A</v>
      </c>
      <c r="H53" s="698" t="e">
        <f>RANK(H52,$Y$14:$Y$68,0)</f>
        <v>#N/A</v>
      </c>
      <c r="I53" s="698" t="e">
        <f>RANK(I52,$Z$14:$Z$68,0)</f>
        <v>#N/A</v>
      </c>
      <c r="J53" s="700" t="e">
        <f>RANK(J52,$AA$14:$AA$68,0)</f>
        <v>#N/A</v>
      </c>
      <c r="K53" s="698" t="e">
        <f>RANK(K52,$AB$14:$AB$68,0)</f>
        <v>#N/A</v>
      </c>
      <c r="L53" s="698" t="e">
        <f>RANK(L52,$AC$14:$AC$68,0)</f>
        <v>#N/A</v>
      </c>
      <c r="M53" s="698" t="e">
        <f>RANK(M52,$AD$14:$AD$68,0)</f>
        <v>#N/A</v>
      </c>
      <c r="N53" s="698" t="e">
        <f>RANK(N52,$AE$14:$AE$68,0)</f>
        <v>#N/A</v>
      </c>
      <c r="O53" s="698" t="e">
        <f>RANK(O52,$AF$14:$AF$68,0)</f>
        <v>#N/A</v>
      </c>
      <c r="P53" s="705"/>
      <c r="Q53" s="706"/>
      <c r="R53" s="696"/>
      <c r="S53" s="675">
        <f>B49</f>
        <v>78</v>
      </c>
      <c r="T53" s="287">
        <f>$A49</f>
        <v>8</v>
      </c>
      <c r="U53" s="287">
        <v>5</v>
      </c>
      <c r="V53" s="287" t="s">
        <v>162</v>
      </c>
      <c r="W53" s="492"/>
      <c r="X53" s="492"/>
      <c r="Y53" s="492"/>
      <c r="Z53" s="492"/>
      <c r="AA53" s="492"/>
      <c r="AB53" s="492"/>
      <c r="AC53" s="492"/>
      <c r="AD53" s="492"/>
      <c r="AE53" s="492"/>
      <c r="AF53" s="492"/>
      <c r="AG53" s="287"/>
      <c r="AH53" s="231"/>
      <c r="AI53" s="231"/>
      <c r="AJ53" s="404">
        <v>319</v>
      </c>
      <c r="AK53" s="231"/>
      <c r="AL53" s="287"/>
      <c r="AM53" s="287"/>
      <c r="AN53" s="287"/>
      <c r="AO53" s="287"/>
    </row>
    <row r="54" spans="1:51" s="287" customFormat="1" ht="13.2" customHeight="1" x14ac:dyDescent="0.35">
      <c r="A54" s="686">
        <v>9</v>
      </c>
      <c r="B54" s="523">
        <v>40</v>
      </c>
      <c r="C54" s="690" t="str">
        <f>VLOOKUP(B54,Уч!$A$2:$L$34,2,FALSE)</f>
        <v>Черкасов Алексей</v>
      </c>
      <c r="D54" s="528" t="str">
        <f>VLOOKUP(B54,Уч!$A$2:$L$34,3,FALSE)</f>
        <v>22.10.1994</v>
      </c>
      <c r="E54" s="509" t="s">
        <v>19</v>
      </c>
      <c r="F54" s="670">
        <f>VLOOKUP($B54,'100 м 1'!$C$18:$I$87,5,FALSE)</f>
        <v>11.53</v>
      </c>
      <c r="G54" s="670">
        <f>VLOOKUP($B54,'длина 2 '!$C$16:$O$54,11,FALSE)</f>
        <v>6.24</v>
      </c>
      <c r="H54" s="670">
        <f>VLOOKUP($B54,'ядро 2'!$C$16:$K$60,8,FALSE)</f>
        <v>12.93</v>
      </c>
      <c r="I54" s="670">
        <f>VLOOKUP($B54,'высота 2'!$C$16:$AF$57,29,FALSE)</f>
        <v>1.91</v>
      </c>
      <c r="J54" s="671">
        <f>VLOOKUP($B54,'4_р'!$C$17:$H$73,5,FALSE)</f>
        <v>52.72</v>
      </c>
      <c r="K54" s="670">
        <f>VLOOKUP($B54,'1cб_р'!$C$17:$I$67,5,FALSE)</f>
        <v>15.18</v>
      </c>
      <c r="L54" s="670">
        <f>VLOOKUP($B54,Дс_р!$C$16:$K$70,8,FALSE)</f>
        <v>32.729999999999997</v>
      </c>
      <c r="M54" s="670" t="s">
        <v>349</v>
      </c>
      <c r="N54" s="670">
        <f>VLOOKUP($B54,К_р!$C$15:$K$68,8,FALSE)</f>
        <v>53.68</v>
      </c>
      <c r="O54" s="523" t="str">
        <f>VLOOKUP($B54,'15_р'!$C$17:$H$86,5,FALSE)</f>
        <v>4:56.96</v>
      </c>
      <c r="P54" s="695">
        <f>SUM(F56:O56)</f>
        <v>4669</v>
      </c>
      <c r="Q54" s="522">
        <f>LOOKUP(P54,Y$1:AH$1,Y$2:AH$2)</f>
        <v>2</v>
      </c>
      <c r="R54" s="694">
        <f>AH54+AI54+5</f>
        <v>14</v>
      </c>
      <c r="S54" s="523">
        <f>B54</f>
        <v>40</v>
      </c>
      <c r="T54" s="287">
        <f>$A54</f>
        <v>9</v>
      </c>
      <c r="U54" s="287">
        <v>1</v>
      </c>
      <c r="V54" s="287">
        <f>$A54</f>
        <v>9</v>
      </c>
      <c r="W54" s="449"/>
      <c r="X54" s="307"/>
      <c r="Y54" s="307"/>
      <c r="Z54" s="307"/>
      <c r="AA54" s="307"/>
      <c r="AB54" s="307"/>
      <c r="AC54" s="307"/>
      <c r="AD54" s="450"/>
      <c r="AE54" s="450"/>
      <c r="AF54" s="450"/>
      <c r="AG54" s="280"/>
      <c r="AH54" s="280">
        <f>IF(AND(T54&gt;16,P54&gt;=6200),"1",LOOKUP(T54,Y$5:AO$5,Y$6:AO$6))</f>
        <v>9</v>
      </c>
      <c r="AI54" s="280">
        <f>LOOKUP(Q54,Y$8:AD$8,Y$9:AD$9)</f>
        <v>0</v>
      </c>
      <c r="AJ54" s="404">
        <v>96</v>
      </c>
      <c r="AK54" s="280"/>
      <c r="AL54" s="280"/>
      <c r="AM54" s="280"/>
      <c r="AN54" s="280"/>
      <c r="AO54" s="280"/>
      <c r="AP54" s="280"/>
      <c r="AQ54" s="280"/>
      <c r="AR54" s="280"/>
      <c r="AS54" s="280"/>
      <c r="AT54" s="280"/>
      <c r="AU54" s="280"/>
      <c r="AV54" s="280"/>
      <c r="AW54" s="280"/>
      <c r="AX54" s="280"/>
      <c r="AY54" s="280"/>
    </row>
    <row r="55" spans="1:51" s="287" customFormat="1" ht="13.2" customHeight="1" x14ac:dyDescent="0.35">
      <c r="A55" s="686"/>
      <c r="B55" s="523"/>
      <c r="C55" s="723" t="str">
        <f>VLOOKUP(B54,Уч!$A$2:$L$34,5,FALSE)</f>
        <v xml:space="preserve">Кемеровская область Санкт-Петербург </v>
      </c>
      <c r="D55" s="528" t="str">
        <f>VLOOKUP(B54,Уч!$A$2:$L$34,4,FALSE)</f>
        <v>МС</v>
      </c>
      <c r="E55" s="509" t="s">
        <v>25</v>
      </c>
      <c r="F55" s="672">
        <f>VLOOKUP($B54,'100 м 1'!$C$18:$I$87,6,FALSE)</f>
        <v>0.8</v>
      </c>
      <c r="G55" s="672">
        <f>VLOOKUP($B54,'длина 2 '!$C$16:$O$54,12,FALSE)</f>
        <v>0.3</v>
      </c>
      <c r="H55" s="523"/>
      <c r="I55" s="672"/>
      <c r="J55" s="673"/>
      <c r="K55" s="672">
        <f>VLOOKUP($B54,'1cб_р'!$C$17:$I$67,6,FALSE)</f>
        <v>-1</v>
      </c>
      <c r="L55" s="672"/>
      <c r="M55" s="672"/>
      <c r="N55" s="523"/>
      <c r="O55" s="523"/>
      <c r="P55" s="695"/>
      <c r="Q55" s="674"/>
      <c r="R55" s="694" t="str">
        <f>CONCATENATE(AH54,"+",AI54,"+",5)</f>
        <v>9+0+5</v>
      </c>
      <c r="S55" s="523">
        <f>B54</f>
        <v>40</v>
      </c>
      <c r="T55" s="287">
        <f>$A54</f>
        <v>9</v>
      </c>
      <c r="U55" s="287">
        <v>2</v>
      </c>
      <c r="V55" s="287">
        <f>$A54</f>
        <v>9</v>
      </c>
      <c r="W55" s="449"/>
      <c r="X55" s="307"/>
      <c r="Y55" s="307"/>
      <c r="Z55" s="307"/>
      <c r="AA55" s="307"/>
      <c r="AB55" s="307"/>
      <c r="AC55" s="307"/>
      <c r="AD55" s="450"/>
      <c r="AE55" s="450"/>
      <c r="AF55" s="450"/>
      <c r="AG55" s="280"/>
      <c r="AH55" s="231"/>
      <c r="AI55" s="231"/>
      <c r="AJ55" s="404">
        <v>96</v>
      </c>
      <c r="AK55" s="231"/>
      <c r="AL55" s="280"/>
      <c r="AM55" s="280"/>
      <c r="AN55" s="280"/>
      <c r="AO55" s="280"/>
      <c r="AP55" s="280"/>
      <c r="AQ55" s="280"/>
      <c r="AR55" s="280"/>
      <c r="AS55" s="280"/>
      <c r="AT55" s="280"/>
      <c r="AU55" s="280"/>
      <c r="AV55" s="280"/>
      <c r="AW55" s="280"/>
      <c r="AX55" s="280"/>
      <c r="AY55" s="280"/>
    </row>
    <row r="56" spans="1:51" s="287" customFormat="1" ht="13.2" customHeight="1" x14ac:dyDescent="0.35">
      <c r="A56" s="686"/>
      <c r="B56" s="523"/>
      <c r="C56" s="724" t="str">
        <f>VLOOKUP(B54,Уч!$A$2:$L$34,7,FALSE)</f>
        <v>МА ФСУ «СШОР по легкой атлетике», ГАУ КО "ЦП ССК", СПб ГБУ ЦОП "ШВСМ по легкой атлетике"</v>
      </c>
      <c r="D56" s="528"/>
      <c r="E56" s="509" t="s">
        <v>29</v>
      </c>
      <c r="F56" s="523">
        <f>VLOOKUP($B54,'100 м 1'!$C$18:$I$87,7,FALSE)</f>
        <v>746</v>
      </c>
      <c r="G56" s="523">
        <f>VLOOKUP($B54,'длина 2 '!$C$16:$O$54,13,FALSE)</f>
        <v>0</v>
      </c>
      <c r="H56" s="523">
        <f>VLOOKUP($B54,'ядро 2'!$C$16:$K$60,9,FALSE)</f>
        <v>663</v>
      </c>
      <c r="I56" s="523">
        <f>VLOOKUP($B54,'высота 2'!$C$16:$AF$57,30,)</f>
        <v>0</v>
      </c>
      <c r="J56" s="526">
        <f>VLOOKUP($B54,'4_р'!$C$17:$H$73,6,FALSE)</f>
        <v>694</v>
      </c>
      <c r="K56" s="523">
        <f>VLOOKUP($B54,'1cб_р'!$C$17:$I$67,7,FALSE)</f>
        <v>828</v>
      </c>
      <c r="L56" s="523">
        <f>VLOOKUP($B54,Дс_р!$C$16:$K$70,9,FALSE)</f>
        <v>518</v>
      </c>
      <c r="M56" s="523">
        <f>VLOOKUP($B54,Ш_р!$C$15:$AF$69,30,FALSE)</f>
        <v>0</v>
      </c>
      <c r="N56" s="523">
        <f>VLOOKUP($B54,К_р!$C$15:$K$68,9,FALSE)</f>
        <v>643</v>
      </c>
      <c r="O56" s="523">
        <f>VLOOKUP($B54,'15_р'!$C$17:$H$86,6,FALSE)</f>
        <v>577</v>
      </c>
      <c r="P56" s="695"/>
      <c r="Q56" s="674"/>
      <c r="R56" s="695"/>
      <c r="S56" s="523">
        <f>B54</f>
        <v>40</v>
      </c>
      <c r="T56" s="287">
        <f>$A54</f>
        <v>9</v>
      </c>
      <c r="U56" s="287">
        <v>3</v>
      </c>
      <c r="V56" s="287">
        <f>$A54</f>
        <v>9</v>
      </c>
      <c r="W56" s="449"/>
      <c r="X56" s="307"/>
      <c r="Y56" s="307"/>
      <c r="Z56" s="307"/>
      <c r="AA56" s="307"/>
      <c r="AB56" s="307"/>
      <c r="AC56" s="307"/>
      <c r="AD56" s="450"/>
      <c r="AE56" s="450"/>
      <c r="AF56" s="450"/>
      <c r="AG56" s="280"/>
      <c r="AH56" s="231"/>
      <c r="AI56" s="231"/>
      <c r="AJ56" s="404">
        <v>96</v>
      </c>
      <c r="AK56" s="231"/>
      <c r="AL56" s="280"/>
      <c r="AM56" s="280"/>
      <c r="AN56" s="280"/>
      <c r="AO56" s="280"/>
      <c r="AP56" s="280"/>
      <c r="AQ56" s="280"/>
      <c r="AR56" s="280"/>
      <c r="AS56" s="280"/>
      <c r="AT56" s="280"/>
      <c r="AU56" s="280"/>
      <c r="AV56" s="280"/>
      <c r="AW56" s="280"/>
      <c r="AX56" s="280"/>
      <c r="AY56" s="280"/>
    </row>
    <row r="57" spans="1:51" s="287" customFormat="1" ht="13.2" customHeight="1" x14ac:dyDescent="0.35">
      <c r="A57" s="686"/>
      <c r="B57" s="523"/>
      <c r="C57" s="723" t="str">
        <f>VLOOKUP(B54,Уч!$A$2:$L$34,11,FALSE)</f>
        <v>Залевская И.И., Овчинников Ю.В., Полосухин К.А.</v>
      </c>
      <c r="D57" s="528"/>
      <c r="E57" s="509" t="s">
        <v>276</v>
      </c>
      <c r="F57" s="523">
        <f>F56</f>
        <v>746</v>
      </c>
      <c r="G57" s="523">
        <f>F57+G56</f>
        <v>746</v>
      </c>
      <c r="H57" s="523">
        <f>G57+H56</f>
        <v>1409</v>
      </c>
      <c r="I57" s="523">
        <f>H57+I56</f>
        <v>1409</v>
      </c>
      <c r="J57" s="526">
        <f>SUM($F56:J56)</f>
        <v>2103</v>
      </c>
      <c r="K57" s="523">
        <f>SUM($F56:$K56)</f>
        <v>2931</v>
      </c>
      <c r="L57" s="523">
        <f>K57+L56</f>
        <v>3449</v>
      </c>
      <c r="M57" s="523">
        <f>L57+M56</f>
        <v>3449</v>
      </c>
      <c r="N57" s="523">
        <f>SUM($F56:$N56)</f>
        <v>4092</v>
      </c>
      <c r="O57" s="523">
        <f>SUM($F56:$O56)</f>
        <v>4669</v>
      </c>
      <c r="P57" s="695"/>
      <c r="Q57" s="674"/>
      <c r="R57" s="695"/>
      <c r="S57" s="523">
        <f>B54</f>
        <v>40</v>
      </c>
      <c r="T57" s="287">
        <f>$A54</f>
        <v>9</v>
      </c>
      <c r="U57" s="287">
        <v>4</v>
      </c>
      <c r="V57" s="287">
        <f>$A54</f>
        <v>9</v>
      </c>
      <c r="W57" s="372">
        <f t="shared" ref="W57:AF57" si="8">F57</f>
        <v>746</v>
      </c>
      <c r="X57" s="372">
        <f t="shared" si="8"/>
        <v>746</v>
      </c>
      <c r="Y57" s="372">
        <f t="shared" si="8"/>
        <v>1409</v>
      </c>
      <c r="Z57" s="372">
        <f t="shared" si="8"/>
        <v>1409</v>
      </c>
      <c r="AA57" s="372">
        <f t="shared" si="8"/>
        <v>2103</v>
      </c>
      <c r="AB57" s="372">
        <f t="shared" si="8"/>
        <v>2931</v>
      </c>
      <c r="AC57" s="372">
        <f t="shared" si="8"/>
        <v>3449</v>
      </c>
      <c r="AD57" s="372">
        <f t="shared" si="8"/>
        <v>3449</v>
      </c>
      <c r="AE57" s="372">
        <f t="shared" si="8"/>
        <v>4092</v>
      </c>
      <c r="AF57" s="372">
        <f t="shared" si="8"/>
        <v>4669</v>
      </c>
      <c r="AG57" s="280"/>
      <c r="AH57" s="231"/>
      <c r="AI57" s="231"/>
      <c r="AJ57" s="404">
        <v>96</v>
      </c>
      <c r="AK57" s="231"/>
      <c r="AL57" s="280"/>
      <c r="AM57" s="280"/>
      <c r="AN57" s="280"/>
      <c r="AO57" s="280"/>
      <c r="AP57" s="280"/>
      <c r="AQ57" s="280"/>
      <c r="AR57" s="280"/>
      <c r="AS57" s="280"/>
      <c r="AT57" s="280"/>
      <c r="AU57" s="280"/>
      <c r="AV57" s="280"/>
      <c r="AW57" s="280"/>
      <c r="AX57" s="280"/>
      <c r="AY57" s="280"/>
    </row>
    <row r="58" spans="1:51" s="287" customFormat="1" ht="13.2" customHeight="1" x14ac:dyDescent="0.25">
      <c r="A58" s="625"/>
      <c r="B58" s="698"/>
      <c r="C58" s="691"/>
      <c r="D58" s="699"/>
      <c r="E58" s="692" t="s">
        <v>59</v>
      </c>
      <c r="F58" s="698" t="e">
        <f>RANK(F57,$W$14:$W$68,0)</f>
        <v>#N/A</v>
      </c>
      <c r="G58" s="698" t="e">
        <f>RANK(G57,$X$14:$X$68,0)</f>
        <v>#N/A</v>
      </c>
      <c r="H58" s="698" t="e">
        <f>RANK(H57,$Y$14:$Y$68,0)</f>
        <v>#N/A</v>
      </c>
      <c r="I58" s="698" t="e">
        <f>RANK(I57,$Z$14:$Z$68,0)</f>
        <v>#N/A</v>
      </c>
      <c r="J58" s="700" t="e">
        <f>RANK(J57,$AA$14:$AA$68,0)</f>
        <v>#N/A</v>
      </c>
      <c r="K58" s="698" t="e">
        <f>RANK(K57,$AB$14:$AB$68,0)</f>
        <v>#N/A</v>
      </c>
      <c r="L58" s="698" t="e">
        <f>RANK(L57,$AC$14:$AC$68,0)</f>
        <v>#N/A</v>
      </c>
      <c r="M58" s="698" t="e">
        <f>RANK(M57,$AD$14:$AD$68,0)</f>
        <v>#N/A</v>
      </c>
      <c r="N58" s="698" t="e">
        <f>RANK(N57,$AE$14:$AE$68,0)</f>
        <v>#N/A</v>
      </c>
      <c r="O58" s="698" t="e">
        <f>RANK(O57,$AF$14:$AF$68,0)</f>
        <v>#N/A</v>
      </c>
      <c r="P58" s="648"/>
      <c r="Q58" s="701"/>
      <c r="R58" s="696"/>
      <c r="S58" s="675">
        <f>B54</f>
        <v>40</v>
      </c>
      <c r="T58" s="287">
        <f>$A54</f>
        <v>9</v>
      </c>
      <c r="U58" s="287">
        <v>5</v>
      </c>
      <c r="V58" s="287">
        <f>$A54</f>
        <v>9</v>
      </c>
      <c r="W58" s="449"/>
      <c r="X58" s="307"/>
      <c r="Y58" s="307"/>
      <c r="Z58" s="307"/>
      <c r="AA58" s="307"/>
      <c r="AB58" s="307"/>
      <c r="AC58" s="307"/>
      <c r="AD58" s="450"/>
      <c r="AE58" s="450"/>
      <c r="AF58" s="450"/>
      <c r="AG58" s="280"/>
      <c r="AH58" s="231"/>
      <c r="AI58" s="231"/>
      <c r="AJ58" s="404">
        <v>96</v>
      </c>
      <c r="AK58" s="231"/>
      <c r="AL58" s="280"/>
      <c r="AM58" s="280"/>
      <c r="AN58" s="280"/>
      <c r="AO58" s="280"/>
      <c r="AP58" s="280"/>
      <c r="AQ58" s="280"/>
      <c r="AR58" s="280"/>
      <c r="AS58" s="280"/>
      <c r="AT58" s="280"/>
      <c r="AU58" s="280"/>
      <c r="AV58" s="280"/>
      <c r="AW58" s="280"/>
      <c r="AX58" s="280"/>
      <c r="AY58" s="280"/>
    </row>
    <row r="59" spans="1:51" s="280" customFormat="1" ht="13.2" customHeight="1" x14ac:dyDescent="0.35">
      <c r="A59" s="686">
        <v>10</v>
      </c>
      <c r="B59" s="523">
        <v>70</v>
      </c>
      <c r="C59" s="690" t="e">
        <f>VLOOKUP(B59,Уч!$A$2:$L$34,2,FALSE)</f>
        <v>#N/A</v>
      </c>
      <c r="D59" s="528" t="e">
        <f>VLOOKUP(B59,Уч!$A$2:$L$34,3,FALSE)</f>
        <v>#N/A</v>
      </c>
      <c r="E59" s="509" t="s">
        <v>19</v>
      </c>
      <c r="F59" s="670" t="e">
        <f>VLOOKUP($B59,'100 м 1'!$C$18:$I$87,5,FALSE)</f>
        <v>#N/A</v>
      </c>
      <c r="G59" s="670" t="e">
        <f>VLOOKUP($B59,'длина 2 '!$C$16:$O$54,11,FALSE)</f>
        <v>#N/A</v>
      </c>
      <c r="H59" s="670" t="e">
        <f>VLOOKUP($B59,'ядро 2'!$C$16:$K$60,8,FALSE)</f>
        <v>#N/A</v>
      </c>
      <c r="I59" s="670" t="e">
        <f>VLOOKUP($B59,'высота 2'!$C$16:$AF$57,29,FALSE)</f>
        <v>#N/A</v>
      </c>
      <c r="J59" s="671">
        <f>VLOOKUP($B59,'4_р'!$C$17:$H$73,5,FALSE)</f>
        <v>49.18</v>
      </c>
      <c r="K59" s="670">
        <f>VLOOKUP($B59,'1cб_р'!$C$17:$I$67,5,FALSE)</f>
        <v>15.24</v>
      </c>
      <c r="L59" s="670">
        <f>VLOOKUP($B59,Дс_р!$C$16:$K$70,8,FALSE)</f>
        <v>28.5</v>
      </c>
      <c r="M59" s="670" t="s">
        <v>349</v>
      </c>
      <c r="N59" s="670">
        <f>VLOOKUP($B59,К_р!$C$15:$K$68,8,FALSE)</f>
        <v>36.11</v>
      </c>
      <c r="O59" s="523" t="str">
        <f>VLOOKUP($B59,'15_р'!$C$17:$H$86,5,FALSE)</f>
        <v>4:33.36</v>
      </c>
      <c r="P59" s="695" t="e">
        <f>SUM(F61:O61)</f>
        <v>#N/A</v>
      </c>
      <c r="Q59" s="522" t="e">
        <f>LOOKUP(P59,Y$1:AH$1,Y$2:AH$2)</f>
        <v>#N/A</v>
      </c>
      <c r="R59" s="694" t="e">
        <f>AH59+AI59+5</f>
        <v>#N/A</v>
      </c>
      <c r="S59" s="523">
        <f>B59</f>
        <v>70</v>
      </c>
      <c r="T59" s="287">
        <f>$A59</f>
        <v>10</v>
      </c>
      <c r="U59" s="287">
        <v>1</v>
      </c>
      <c r="V59" s="287">
        <f>$A59</f>
        <v>10</v>
      </c>
      <c r="W59" s="449"/>
      <c r="X59" s="307"/>
      <c r="Y59" s="307"/>
      <c r="Z59" s="307"/>
      <c r="AA59" s="307"/>
      <c r="AB59" s="307"/>
      <c r="AC59" s="307"/>
      <c r="AD59" s="450"/>
      <c r="AE59" s="450"/>
      <c r="AF59" s="450"/>
      <c r="AH59" s="280" t="e">
        <f>IF(AND(T59&gt;16,P59&gt;=6200),"1",LOOKUP(T59,Y$5:AO$5,Y$6:AO$6))</f>
        <v>#N/A</v>
      </c>
      <c r="AI59" s="280" t="e">
        <f>LOOKUP(Q59,Y$8:AD$8,Y$9:AD$9)</f>
        <v>#N/A</v>
      </c>
      <c r="AJ59" s="404">
        <v>505</v>
      </c>
      <c r="AK59" s="231"/>
    </row>
    <row r="60" spans="1:51" s="280" customFormat="1" ht="13.2" customHeight="1" x14ac:dyDescent="0.35">
      <c r="A60" s="686"/>
      <c r="B60" s="523"/>
      <c r="C60" s="723" t="e">
        <f>VLOOKUP(B59,Уч!$A$2:$L$34,5,FALSE)</f>
        <v>#N/A</v>
      </c>
      <c r="D60" s="528" t="e">
        <f>VLOOKUP(B59,Уч!$A$2:$L$34,4,FALSE)</f>
        <v>#N/A</v>
      </c>
      <c r="E60" s="509" t="s">
        <v>25</v>
      </c>
      <c r="F60" s="672" t="e">
        <f>VLOOKUP($B59,'100 м 1'!$C$18:$I$87,6,FALSE)</f>
        <v>#N/A</v>
      </c>
      <c r="G60" s="672" t="e">
        <f>VLOOKUP($B59,'длина 2 '!$C$16:$O$54,12,FALSE)</f>
        <v>#N/A</v>
      </c>
      <c r="H60" s="523"/>
      <c r="I60" s="672"/>
      <c r="J60" s="673"/>
      <c r="K60" s="672">
        <f>VLOOKUP($B59,'1cб_р'!$C$17:$I$67,6,FALSE)</f>
        <v>-1.5</v>
      </c>
      <c r="L60" s="672"/>
      <c r="M60" s="672"/>
      <c r="N60" s="523"/>
      <c r="O60" s="523"/>
      <c r="P60" s="695"/>
      <c r="Q60" s="674"/>
      <c r="R60" s="694" t="e">
        <f>CONCATENATE(AH59,"+",AI59,"+",5)</f>
        <v>#N/A</v>
      </c>
      <c r="S60" s="523">
        <f>B59</f>
        <v>70</v>
      </c>
      <c r="T60" s="287">
        <f>$A59</f>
        <v>10</v>
      </c>
      <c r="U60" s="287">
        <v>2</v>
      </c>
      <c r="V60" s="287">
        <f>$A59</f>
        <v>10</v>
      </c>
      <c r="W60" s="449"/>
      <c r="X60" s="307"/>
      <c r="Y60" s="307"/>
      <c r="Z60" s="307"/>
      <c r="AA60" s="307"/>
      <c r="AB60" s="307"/>
      <c r="AC60" s="307"/>
      <c r="AD60" s="450"/>
      <c r="AE60" s="450"/>
      <c r="AF60" s="450"/>
      <c r="AH60" s="231"/>
      <c r="AI60" s="231"/>
      <c r="AJ60" s="404">
        <v>505</v>
      </c>
      <c r="AK60" s="231"/>
    </row>
    <row r="61" spans="1:51" s="280" customFormat="1" ht="13.2" customHeight="1" x14ac:dyDescent="0.35">
      <c r="A61" s="686"/>
      <c r="B61" s="523"/>
      <c r="C61" s="724" t="e">
        <f>VLOOKUP(B59,Уч!$A$2:$L$34,7,FALSE)</f>
        <v>#N/A</v>
      </c>
      <c r="D61" s="528"/>
      <c r="E61" s="509" t="s">
        <v>29</v>
      </c>
      <c r="F61" s="523" t="e">
        <f>VLOOKUP($B59,'100 м 1'!$C$18:$I$87,7,FALSE)</f>
        <v>#N/A</v>
      </c>
      <c r="G61" s="523" t="e">
        <f>VLOOKUP($B59,'длина 2 '!$C$16:$O$54,13,FALSE)</f>
        <v>#N/A</v>
      </c>
      <c r="H61" s="523" t="e">
        <f>VLOOKUP($B59,'ядро 2'!$C$16:$K$60,9,FALSE)</f>
        <v>#N/A</v>
      </c>
      <c r="I61" s="523" t="e">
        <f>VLOOKUP($B59,'высота 2'!$C$16:$AF$57,30,)</f>
        <v>#N/A</v>
      </c>
      <c r="J61" s="526">
        <f>VLOOKUP($B59,'4_р'!$C$17:$H$73,6,FALSE)</f>
        <v>853</v>
      </c>
      <c r="K61" s="523">
        <f>VLOOKUP($B59,'1cб_р'!$C$17:$I$67,7,FALSE)</f>
        <v>821</v>
      </c>
      <c r="L61" s="523">
        <f>VLOOKUP($B59,Дс_р!$C$16:$K$70,9,FALSE)</f>
        <v>435</v>
      </c>
      <c r="M61" s="523">
        <f>VLOOKUP($B59,Ш_р!$C$15:$AF$69,30,FALSE)</f>
        <v>0</v>
      </c>
      <c r="N61" s="523">
        <f>VLOOKUP($B59,К_р!$C$15:$K$68,9,FALSE)</f>
        <v>386</v>
      </c>
      <c r="O61" s="523">
        <f>VLOOKUP($B59,'15_р'!$C$17:$H$86,6,FALSE)</f>
        <v>723</v>
      </c>
      <c r="P61" s="695"/>
      <c r="Q61" s="650"/>
      <c r="R61" s="695"/>
      <c r="S61" s="523">
        <f>B59</f>
        <v>70</v>
      </c>
      <c r="T61" s="287">
        <f>$A59</f>
        <v>10</v>
      </c>
      <c r="U61" s="287">
        <v>3</v>
      </c>
      <c r="V61" s="287">
        <f>$A59</f>
        <v>10</v>
      </c>
      <c r="W61" s="449"/>
      <c r="X61" s="307"/>
      <c r="Y61" s="307"/>
      <c r="Z61" s="307"/>
      <c r="AA61" s="307"/>
      <c r="AB61" s="307"/>
      <c r="AC61" s="307"/>
      <c r="AD61" s="450"/>
      <c r="AE61" s="450"/>
      <c r="AF61" s="450"/>
      <c r="AH61" s="231"/>
      <c r="AI61" s="231"/>
      <c r="AJ61" s="404">
        <v>505</v>
      </c>
      <c r="AK61" s="231"/>
    </row>
    <row r="62" spans="1:51" s="280" customFormat="1" ht="13.2" customHeight="1" x14ac:dyDescent="0.35">
      <c r="A62" s="686"/>
      <c r="B62" s="523"/>
      <c r="C62" s="723" t="e">
        <f>VLOOKUP(B59,Уч!$A$2:$L$34,11,FALSE)</f>
        <v>#N/A</v>
      </c>
      <c r="D62" s="528"/>
      <c r="E62" s="509" t="s">
        <v>276</v>
      </c>
      <c r="F62" s="523" t="e">
        <f>F61</f>
        <v>#N/A</v>
      </c>
      <c r="G62" s="523" t="e">
        <f>F62+G61</f>
        <v>#N/A</v>
      </c>
      <c r="H62" s="523" t="e">
        <f>G62+H61</f>
        <v>#N/A</v>
      </c>
      <c r="I62" s="523" t="e">
        <f>H62+I61</f>
        <v>#N/A</v>
      </c>
      <c r="J62" s="526" t="e">
        <f>SUM($F61:J61)</f>
        <v>#N/A</v>
      </c>
      <c r="K62" s="523" t="e">
        <f>SUM($F61:$K61)</f>
        <v>#N/A</v>
      </c>
      <c r="L62" s="523" t="e">
        <f>K62+L61</f>
        <v>#N/A</v>
      </c>
      <c r="M62" s="523" t="e">
        <f>L62+M61</f>
        <v>#N/A</v>
      </c>
      <c r="N62" s="523" t="e">
        <f>SUM($F61:$N61)</f>
        <v>#N/A</v>
      </c>
      <c r="O62" s="523" t="e">
        <f>SUM($F61:$O61)</f>
        <v>#N/A</v>
      </c>
      <c r="P62" s="695"/>
      <c r="Q62" s="650"/>
      <c r="R62" s="695"/>
      <c r="S62" s="523">
        <f>B59</f>
        <v>70</v>
      </c>
      <c r="T62" s="287">
        <f>$A59</f>
        <v>10</v>
      </c>
      <c r="U62" s="287">
        <v>4</v>
      </c>
      <c r="V62" s="287">
        <f>$A59</f>
        <v>10</v>
      </c>
      <c r="W62" s="372" t="e">
        <f t="shared" ref="W62:AF62" si="9">F62</f>
        <v>#N/A</v>
      </c>
      <c r="X62" s="372" t="e">
        <f t="shared" si="9"/>
        <v>#N/A</v>
      </c>
      <c r="Y62" s="372" t="e">
        <f t="shared" si="9"/>
        <v>#N/A</v>
      </c>
      <c r="Z62" s="372" t="e">
        <f t="shared" si="9"/>
        <v>#N/A</v>
      </c>
      <c r="AA62" s="372" t="e">
        <f t="shared" si="9"/>
        <v>#N/A</v>
      </c>
      <c r="AB62" s="372" t="e">
        <f t="shared" si="9"/>
        <v>#N/A</v>
      </c>
      <c r="AC62" s="372" t="e">
        <f t="shared" si="9"/>
        <v>#N/A</v>
      </c>
      <c r="AD62" s="372" t="e">
        <f t="shared" si="9"/>
        <v>#N/A</v>
      </c>
      <c r="AE62" s="372" t="e">
        <f t="shared" si="9"/>
        <v>#N/A</v>
      </c>
      <c r="AF62" s="372" t="e">
        <f t="shared" si="9"/>
        <v>#N/A</v>
      </c>
      <c r="AH62" s="231"/>
      <c r="AI62" s="231"/>
      <c r="AJ62" s="404">
        <v>505</v>
      </c>
      <c r="AK62" s="231"/>
    </row>
    <row r="63" spans="1:51" s="280" customFormat="1" ht="13.2" customHeight="1" x14ac:dyDescent="0.25">
      <c r="A63" s="625"/>
      <c r="B63" s="698"/>
      <c r="C63" s="691"/>
      <c r="D63" s="699"/>
      <c r="E63" s="692" t="s">
        <v>59</v>
      </c>
      <c r="F63" s="698" t="e">
        <f>RANK(F62,$W$14:$W$68,0)</f>
        <v>#N/A</v>
      </c>
      <c r="G63" s="698" t="e">
        <f>RANK(G62,$X$14:$X$68,0)</f>
        <v>#N/A</v>
      </c>
      <c r="H63" s="698" t="e">
        <f>RANK(H62,$Y$14:$Y$68,0)</f>
        <v>#N/A</v>
      </c>
      <c r="I63" s="698" t="e">
        <f>RANK(I62,$Z$14:$Z$68,0)</f>
        <v>#N/A</v>
      </c>
      <c r="J63" s="700" t="e">
        <f>RANK(J62,$AA$14:$AA$68,0)</f>
        <v>#N/A</v>
      </c>
      <c r="K63" s="698" t="e">
        <f>RANK(K62,$AB$14:$AB$68,0)</f>
        <v>#N/A</v>
      </c>
      <c r="L63" s="698" t="e">
        <f>RANK(L62,$AC$14:$AC$68,0)</f>
        <v>#N/A</v>
      </c>
      <c r="M63" s="698" t="e">
        <f>RANK(M62,$AD$14:$AD$68,0)</f>
        <v>#N/A</v>
      </c>
      <c r="N63" s="698" t="e">
        <f>RANK(N62,$AE$14:$AE$68,0)</f>
        <v>#N/A</v>
      </c>
      <c r="O63" s="698" t="e">
        <f>RANK(O62,$AF$14:$AF$68,0)</f>
        <v>#N/A</v>
      </c>
      <c r="P63" s="648"/>
      <c r="Q63" s="701"/>
      <c r="R63" s="696"/>
      <c r="S63" s="675">
        <f>B59</f>
        <v>70</v>
      </c>
      <c r="T63" s="287">
        <f>$A59</f>
        <v>10</v>
      </c>
      <c r="U63" s="287">
        <v>5</v>
      </c>
      <c r="V63" s="287">
        <f>$A59</f>
        <v>10</v>
      </c>
      <c r="W63" s="449"/>
      <c r="X63" s="307"/>
      <c r="Y63" s="307"/>
      <c r="Z63" s="307"/>
      <c r="AA63" s="307"/>
      <c r="AB63" s="307"/>
      <c r="AC63" s="307"/>
      <c r="AD63" s="450"/>
      <c r="AE63" s="450"/>
      <c r="AF63" s="450"/>
      <c r="AH63" s="231"/>
      <c r="AI63" s="231"/>
      <c r="AJ63" s="404">
        <v>505</v>
      </c>
      <c r="AK63" s="231"/>
    </row>
    <row r="64" spans="1:51" s="280" customFormat="1" ht="13.2" customHeight="1" x14ac:dyDescent="0.35">
      <c r="A64" s="686">
        <v>11</v>
      </c>
      <c r="B64" s="523">
        <v>24</v>
      </c>
      <c r="C64" s="690" t="e">
        <f>VLOOKUP(B64,Уч!$A$2:$L$34,2,FALSE)</f>
        <v>#N/A</v>
      </c>
      <c r="D64" s="528" t="e">
        <f>VLOOKUP(B64,Уч!$A$2:$L$34,3,FALSE)</f>
        <v>#N/A</v>
      </c>
      <c r="E64" s="509" t="s">
        <v>19</v>
      </c>
      <c r="F64" s="670">
        <f>VLOOKUP($B64,'100 м 1'!$C$18:$I$87,5,FALSE)</f>
        <v>11.15</v>
      </c>
      <c r="G64" s="670" t="e">
        <f>VLOOKUP($B64,'длина 2 '!$C$16:$O$54,11,FALSE)</f>
        <v>#N/A</v>
      </c>
      <c r="H64" s="670" t="e">
        <f>VLOOKUP($B64,'ядро 2'!$C$16:$K$60,8,FALSE)</f>
        <v>#N/A</v>
      </c>
      <c r="I64" s="670" t="e">
        <f>VLOOKUP($B64,'высота 2'!$C$16:$AF$57,29,FALSE)</f>
        <v>#N/A</v>
      </c>
      <c r="J64" s="671">
        <f>VLOOKUP($B64,'4_р'!$C$17:$H$73,5,FALSE)</f>
        <v>54.8</v>
      </c>
      <c r="K64" s="670">
        <f>VLOOKUP($B64,'1cб_р'!$C$17:$I$67,5,FALSE)</f>
        <v>17.36</v>
      </c>
      <c r="L64" s="670">
        <f>VLOOKUP($B64,Дс_р!$C$16:$K$70,8,FALSE)</f>
        <v>29.35</v>
      </c>
      <c r="M64" s="670" t="s">
        <v>349</v>
      </c>
      <c r="N64" s="670">
        <f>VLOOKUP($B64,К_р!$C$15:$K$68,8,FALSE)</f>
        <v>45.16</v>
      </c>
      <c r="O64" s="523" t="str">
        <f>VLOOKUP($B64,'15_р'!$C$17:$H$86,5,FALSE)</f>
        <v>4:51.71</v>
      </c>
      <c r="P64" s="695" t="e">
        <f>SUM(F66:O66)</f>
        <v>#N/A</v>
      </c>
      <c r="Q64" s="522" t="e">
        <f>LOOKUP(P64,Y$1:AH$1,Y$2:AH$2)</f>
        <v>#N/A</v>
      </c>
      <c r="R64" s="694" t="e">
        <f>AH64+AI64+5</f>
        <v>#N/A</v>
      </c>
      <c r="S64" s="523">
        <f>B64</f>
        <v>24</v>
      </c>
      <c r="T64" s="287">
        <f>$A64</f>
        <v>11</v>
      </c>
      <c r="U64" s="287">
        <v>1</v>
      </c>
      <c r="V64" s="287">
        <f>$A64</f>
        <v>11</v>
      </c>
      <c r="W64" s="449"/>
      <c r="X64" s="307"/>
      <c r="Y64" s="307"/>
      <c r="Z64" s="307"/>
      <c r="AA64" s="307"/>
      <c r="AB64" s="307"/>
      <c r="AC64" s="307"/>
      <c r="AD64" s="450"/>
      <c r="AE64" s="450"/>
      <c r="AF64" s="450"/>
      <c r="AH64" s="280" t="e">
        <f>IF(AND(T64&gt;16,P64&gt;=6200),"1",LOOKUP(T64,Y$5:AO$5,Y$6:AO$6))</f>
        <v>#N/A</v>
      </c>
      <c r="AI64" s="280" t="e">
        <f>LOOKUP(Q64,Y$8:AD$8,Y$9:AD$9)</f>
        <v>#N/A</v>
      </c>
      <c r="AJ64" s="404">
        <v>316</v>
      </c>
      <c r="AK64" s="231"/>
    </row>
    <row r="65" spans="1:37" s="280" customFormat="1" ht="13.2" customHeight="1" x14ac:dyDescent="0.35">
      <c r="A65" s="686"/>
      <c r="B65" s="523"/>
      <c r="C65" s="723" t="e">
        <f>VLOOKUP(B64,Уч!$A$2:$L$34,5,FALSE)</f>
        <v>#N/A</v>
      </c>
      <c r="D65" s="525" t="e">
        <f>VLOOKUP(B64,Уч!$A$2:$L$34,4,FALSE)</f>
        <v>#N/A</v>
      </c>
      <c r="E65" s="509" t="s">
        <v>25</v>
      </c>
      <c r="F65" s="672">
        <f>VLOOKUP($B64,'100 м 1'!$C$18:$I$87,6,FALSE)</f>
        <v>1</v>
      </c>
      <c r="G65" s="672" t="e">
        <f>VLOOKUP($B64,'длина 2 '!$C$16:$O$54,12,FALSE)</f>
        <v>#N/A</v>
      </c>
      <c r="H65" s="523"/>
      <c r="I65" s="672"/>
      <c r="J65" s="673"/>
      <c r="K65" s="672">
        <f>VLOOKUP($B64,'1cб_р'!$C$17:$I$67,6,FALSE)</f>
        <v>0</v>
      </c>
      <c r="L65" s="672"/>
      <c r="M65" s="672"/>
      <c r="N65" s="523"/>
      <c r="O65" s="523"/>
      <c r="P65" s="695"/>
      <c r="Q65" s="674"/>
      <c r="R65" s="694" t="e">
        <f>CONCATENATE(AH64,"+",AI64,"+",5)</f>
        <v>#N/A</v>
      </c>
      <c r="S65" s="523">
        <f>B64</f>
        <v>24</v>
      </c>
      <c r="T65" s="287">
        <f>$A64</f>
        <v>11</v>
      </c>
      <c r="U65" s="287">
        <v>2</v>
      </c>
      <c r="V65" s="287">
        <f>$A64</f>
        <v>11</v>
      </c>
      <c r="W65" s="449"/>
      <c r="X65" s="307"/>
      <c r="Y65" s="307"/>
      <c r="Z65" s="307"/>
      <c r="AA65" s="307"/>
      <c r="AB65" s="307"/>
      <c r="AC65" s="307"/>
      <c r="AD65" s="450"/>
      <c r="AE65" s="450"/>
      <c r="AF65" s="450"/>
      <c r="AH65" s="231"/>
      <c r="AI65" s="231"/>
      <c r="AJ65" s="404">
        <v>316</v>
      </c>
      <c r="AK65" s="231"/>
    </row>
    <row r="66" spans="1:37" s="280" customFormat="1" ht="13.2" customHeight="1" x14ac:dyDescent="0.35">
      <c r="A66" s="686"/>
      <c r="B66" s="523"/>
      <c r="C66" s="724" t="e">
        <f>VLOOKUP(B64,Уч!$A$2:$L$34,7,FALSE)</f>
        <v>#N/A</v>
      </c>
      <c r="D66" s="525"/>
      <c r="E66" s="509" t="s">
        <v>29</v>
      </c>
      <c r="F66" s="523">
        <f>VLOOKUP($B64,'100 м 1'!$C$18:$I$87,7,FALSE)</f>
        <v>827</v>
      </c>
      <c r="G66" s="523" t="e">
        <f>VLOOKUP($B64,'длина 2 '!$C$16:$O$54,13,FALSE)</f>
        <v>#N/A</v>
      </c>
      <c r="H66" s="523" t="e">
        <f>VLOOKUP($B64,'ядро 2'!$C$16:$K$60,9,FALSE)</f>
        <v>#N/A</v>
      </c>
      <c r="I66" s="523" t="e">
        <f>VLOOKUP($B64,'высота 2'!$C$16:$AF$57,30,)</f>
        <v>#N/A</v>
      </c>
      <c r="J66" s="526">
        <f>VLOOKUP($B64,'4_р'!$C$17:$H$73,6,FALSE)</f>
        <v>607</v>
      </c>
      <c r="K66" s="523">
        <f>VLOOKUP($B64,'1cб_р'!$C$17:$I$67,7,FALSE)</f>
        <v>587</v>
      </c>
      <c r="L66" s="523">
        <f>VLOOKUP($B64,Дс_р!$C$16:$K$70,9,FALSE)</f>
        <v>452</v>
      </c>
      <c r="M66" s="523">
        <f>VLOOKUP($B64,Ш_р!$C$15:$AF$69,30,FALSE)</f>
        <v>0</v>
      </c>
      <c r="N66" s="523">
        <f>VLOOKUP($B64,К_р!$C$15:$K$68,9,FALSE)</f>
        <v>517</v>
      </c>
      <c r="O66" s="523">
        <f>VLOOKUP($B64,'15_р'!$C$17:$H$86,6,FALSE)</f>
        <v>608</v>
      </c>
      <c r="P66" s="695"/>
      <c r="Q66" s="676"/>
      <c r="R66" s="695"/>
      <c r="S66" s="523">
        <f>B64</f>
        <v>24</v>
      </c>
      <c r="T66" s="287">
        <f>$A64</f>
        <v>11</v>
      </c>
      <c r="U66" s="287">
        <v>3</v>
      </c>
      <c r="V66" s="287">
        <f>$A64</f>
        <v>11</v>
      </c>
      <c r="W66" s="449"/>
      <c r="X66" s="307"/>
      <c r="Y66" s="307"/>
      <c r="Z66" s="307"/>
      <c r="AA66" s="307"/>
      <c r="AB66" s="307"/>
      <c r="AC66" s="307"/>
      <c r="AD66" s="450"/>
      <c r="AE66" s="450"/>
      <c r="AF66" s="450"/>
      <c r="AH66" s="231"/>
      <c r="AI66" s="231"/>
      <c r="AJ66" s="404">
        <v>316</v>
      </c>
      <c r="AK66" s="231"/>
    </row>
    <row r="67" spans="1:37" s="280" customFormat="1" ht="13.2" customHeight="1" x14ac:dyDescent="0.35">
      <c r="A67" s="686"/>
      <c r="B67" s="523"/>
      <c r="C67" s="723" t="e">
        <f>VLOOKUP(B64,Уч!$A$2:$L$34,11,FALSE)</f>
        <v>#N/A</v>
      </c>
      <c r="D67" s="525"/>
      <c r="E67" s="509" t="s">
        <v>276</v>
      </c>
      <c r="F67" s="523">
        <f>F66</f>
        <v>827</v>
      </c>
      <c r="G67" s="523" t="e">
        <f>F67+G66</f>
        <v>#N/A</v>
      </c>
      <c r="H67" s="523" t="e">
        <f>G67+H66</f>
        <v>#N/A</v>
      </c>
      <c r="I67" s="523" t="e">
        <f>H67+I66</f>
        <v>#N/A</v>
      </c>
      <c r="J67" s="526" t="e">
        <f>SUM($F66:J66)</f>
        <v>#N/A</v>
      </c>
      <c r="K67" s="523" t="e">
        <f>SUM($F66:$K66)</f>
        <v>#N/A</v>
      </c>
      <c r="L67" s="523" t="e">
        <f>K67+L66</f>
        <v>#N/A</v>
      </c>
      <c r="M67" s="523" t="e">
        <f>L67+M66</f>
        <v>#N/A</v>
      </c>
      <c r="N67" s="523" t="e">
        <f>SUM($F66:$N66)</f>
        <v>#N/A</v>
      </c>
      <c r="O67" s="523" t="e">
        <f>SUM($F66:$O66)</f>
        <v>#N/A</v>
      </c>
      <c r="P67" s="695"/>
      <c r="Q67" s="674"/>
      <c r="R67" s="695"/>
      <c r="S67" s="523">
        <f>B64</f>
        <v>24</v>
      </c>
      <c r="T67" s="287">
        <f>$A64</f>
        <v>11</v>
      </c>
      <c r="U67" s="287">
        <v>4</v>
      </c>
      <c r="V67" s="287">
        <f>$A64</f>
        <v>11</v>
      </c>
      <c r="W67" s="372">
        <f t="shared" ref="W67:AF67" si="10">F67</f>
        <v>827</v>
      </c>
      <c r="X67" s="372" t="e">
        <f t="shared" si="10"/>
        <v>#N/A</v>
      </c>
      <c r="Y67" s="372" t="e">
        <f t="shared" si="10"/>
        <v>#N/A</v>
      </c>
      <c r="Z67" s="372" t="e">
        <f t="shared" si="10"/>
        <v>#N/A</v>
      </c>
      <c r="AA67" s="372" t="e">
        <f t="shared" si="10"/>
        <v>#N/A</v>
      </c>
      <c r="AB67" s="372" t="e">
        <f t="shared" si="10"/>
        <v>#N/A</v>
      </c>
      <c r="AC67" s="372" t="e">
        <f t="shared" si="10"/>
        <v>#N/A</v>
      </c>
      <c r="AD67" s="372" t="e">
        <f t="shared" si="10"/>
        <v>#N/A</v>
      </c>
      <c r="AE67" s="372" t="e">
        <f t="shared" si="10"/>
        <v>#N/A</v>
      </c>
      <c r="AF67" s="372" t="e">
        <f t="shared" si="10"/>
        <v>#N/A</v>
      </c>
      <c r="AH67" s="231"/>
      <c r="AI67" s="231"/>
      <c r="AJ67" s="404">
        <v>316</v>
      </c>
      <c r="AK67" s="231"/>
    </row>
    <row r="68" spans="1:37" s="280" customFormat="1" ht="13.2" customHeight="1" x14ac:dyDescent="0.25">
      <c r="A68" s="625"/>
      <c r="B68" s="698"/>
      <c r="C68" s="691"/>
      <c r="D68" s="703"/>
      <c r="E68" s="692" t="s">
        <v>59</v>
      </c>
      <c r="F68" s="698" t="e">
        <f>RANK(F67,$W$14:$W$68,0)</f>
        <v>#N/A</v>
      </c>
      <c r="G68" s="698" t="e">
        <f>RANK(G67,$X$14:$X$68,0)</f>
        <v>#N/A</v>
      </c>
      <c r="H68" s="698" t="e">
        <f>RANK(H67,$Y$14:$Y$68,0)</f>
        <v>#N/A</v>
      </c>
      <c r="I68" s="698" t="e">
        <f>RANK(I67,$Z$14:$Z$68,0)</f>
        <v>#N/A</v>
      </c>
      <c r="J68" s="700" t="e">
        <f>RANK(J67,$AA$14:$AA$68,0)</f>
        <v>#N/A</v>
      </c>
      <c r="K68" s="698" t="e">
        <f>RANK(K67,$AB$14:$AB$68,0)</f>
        <v>#N/A</v>
      </c>
      <c r="L68" s="698" t="e">
        <f>RANK(L67,$AC$14:$AC$68,0)</f>
        <v>#N/A</v>
      </c>
      <c r="M68" s="698" t="e">
        <f>RANK(M67,$AD$14:$AD$68,0)</f>
        <v>#N/A</v>
      </c>
      <c r="N68" s="698" t="e">
        <f>RANK(N67,$AE$14:$AE$68,0)</f>
        <v>#N/A</v>
      </c>
      <c r="O68" s="698" t="e">
        <f>RANK(O67,$AF$14:$AF$68,0)</f>
        <v>#N/A</v>
      </c>
      <c r="P68" s="648"/>
      <c r="Q68" s="701"/>
      <c r="R68" s="696"/>
      <c r="S68" s="675">
        <f>B64</f>
        <v>24</v>
      </c>
      <c r="T68" s="287">
        <f>$A64</f>
        <v>11</v>
      </c>
      <c r="U68" s="287">
        <v>5</v>
      </c>
      <c r="V68" s="287">
        <f>$A64</f>
        <v>11</v>
      </c>
      <c r="W68" s="449"/>
      <c r="X68" s="307"/>
      <c r="Y68" s="307"/>
      <c r="Z68" s="307"/>
      <c r="AA68" s="307"/>
      <c r="AB68" s="307"/>
      <c r="AC68" s="307"/>
      <c r="AD68" s="450"/>
      <c r="AE68" s="450"/>
      <c r="AF68" s="450"/>
      <c r="AH68" s="231"/>
      <c r="AI68" s="231"/>
      <c r="AJ68" s="404">
        <v>316</v>
      </c>
      <c r="AK68" s="231"/>
    </row>
    <row r="69" spans="1:37" s="280" customFormat="1" ht="13.2" customHeight="1" x14ac:dyDescent="0.35">
      <c r="A69" s="686"/>
      <c r="B69" s="523">
        <v>56</v>
      </c>
      <c r="C69" s="690" t="e">
        <f>VLOOKUP(B69,Уч!$A$2:$L$34,2,FALSE)</f>
        <v>#N/A</v>
      </c>
      <c r="D69" s="528" t="e">
        <f>VLOOKUP(B69,Уч!$A$2:$L$34,3,FALSE)</f>
        <v>#N/A</v>
      </c>
      <c r="E69" s="509" t="s">
        <v>19</v>
      </c>
      <c r="F69" s="670" t="e">
        <f>VLOOKUP($B69,'100 м 1'!$C$18:$I$87,5,FALSE)</f>
        <v>#N/A</v>
      </c>
      <c r="G69" s="670" t="e">
        <f>VLOOKUP($B69,'длина 2 '!$C$16:$O$54,11,FALSE)</f>
        <v>#N/A</v>
      </c>
      <c r="H69" s="670" t="e">
        <f>VLOOKUP($B69,'ядро 2'!$C$16:$K$60,8,FALSE)</f>
        <v>#N/A</v>
      </c>
      <c r="I69" s="670" t="e">
        <f>VLOOKUP($B69,'высота 2'!$C$16:$AF$57,29,FALSE)</f>
        <v>#N/A</v>
      </c>
      <c r="J69" s="671">
        <f>VLOOKUP($B69,'4_р'!$C$17:$H$73,5,FALSE)</f>
        <v>0</v>
      </c>
      <c r="K69" s="670">
        <f>VLOOKUP($B69,'1cб_р'!$C$17:$I$67,5,FALSE)</f>
        <v>0</v>
      </c>
      <c r="L69" s="670">
        <f>VLOOKUP($B69,Дс_р!$C$16:$K$70,8,FALSE)</f>
        <v>37.44</v>
      </c>
      <c r="M69" s="670" t="s">
        <v>349</v>
      </c>
      <c r="N69" s="670">
        <f>VLOOKUP($B69,К_р!$C$15:$K$68,8,FALSE)</f>
        <v>46.68</v>
      </c>
      <c r="O69" s="523" t="s">
        <v>347</v>
      </c>
      <c r="P69" s="695" t="e">
        <f>SUM(F71:O71)</f>
        <v>#N/A</v>
      </c>
      <c r="Q69" s="522"/>
      <c r="R69" s="694"/>
      <c r="S69" s="523">
        <f>B69</f>
        <v>56</v>
      </c>
      <c r="T69" s="287">
        <f>$A69</f>
        <v>0</v>
      </c>
      <c r="U69" s="287">
        <v>1</v>
      </c>
      <c r="V69" s="287">
        <f>$A69</f>
        <v>0</v>
      </c>
      <c r="W69" s="449"/>
      <c r="X69" s="307"/>
      <c r="Y69" s="307"/>
      <c r="Z69" s="307"/>
      <c r="AA69" s="307"/>
      <c r="AB69" s="307"/>
      <c r="AC69" s="307"/>
      <c r="AD69" s="450"/>
      <c r="AE69" s="450"/>
      <c r="AF69" s="450"/>
      <c r="AH69" s="280" t="e">
        <f>IF(AND(T69&gt;16,P69&gt;=6200),"1",LOOKUP(T69,Y$5:AO$5,Y$6:AO$6))</f>
        <v>#N/A</v>
      </c>
      <c r="AI69" s="280" t="e">
        <f>LOOKUP(Q69,Y$8:AD$8,Y$9:AD$9)</f>
        <v>#N/A</v>
      </c>
      <c r="AJ69" s="404">
        <v>316</v>
      </c>
      <c r="AK69" s="231"/>
    </row>
    <row r="70" spans="1:37" s="280" customFormat="1" ht="13.2" customHeight="1" x14ac:dyDescent="0.35">
      <c r="A70" s="686"/>
      <c r="B70" s="523"/>
      <c r="C70" s="723" t="e">
        <f>VLOOKUP(B69,Уч!$A$2:$L$34,5,FALSE)</f>
        <v>#N/A</v>
      </c>
      <c r="D70" s="525" t="e">
        <f>VLOOKUP(B69,Уч!$A$2:$L$34,4,FALSE)</f>
        <v>#N/A</v>
      </c>
      <c r="E70" s="509" t="s">
        <v>25</v>
      </c>
      <c r="F70" s="672" t="e">
        <f>VLOOKUP($B69,'100 м 1'!$C$18:$I$87,6,FALSE)</f>
        <v>#N/A</v>
      </c>
      <c r="G70" s="672" t="e">
        <f>VLOOKUP($B69,'длина 2 '!$C$16:$O$54,12,FALSE)</f>
        <v>#N/A</v>
      </c>
      <c r="H70" s="523"/>
      <c r="I70" s="672"/>
      <c r="J70" s="673"/>
      <c r="K70" s="672">
        <f>VLOOKUP($B69,'1cб_р'!$C$17:$I$67,6,FALSE)</f>
        <v>0</v>
      </c>
      <c r="L70" s="672"/>
      <c r="M70" s="672"/>
      <c r="N70" s="523"/>
      <c r="O70" s="523"/>
      <c r="P70" s="695"/>
      <c r="Q70" s="674"/>
      <c r="R70" s="694"/>
      <c r="S70" s="523">
        <f>B69</f>
        <v>56</v>
      </c>
      <c r="T70" s="287">
        <f>$A69</f>
        <v>0</v>
      </c>
      <c r="U70" s="287">
        <v>2</v>
      </c>
      <c r="V70" s="287">
        <f>$A69</f>
        <v>0</v>
      </c>
      <c r="W70" s="449"/>
      <c r="X70" s="307"/>
      <c r="Y70" s="307"/>
      <c r="Z70" s="307"/>
      <c r="AA70" s="307"/>
      <c r="AB70" s="307"/>
      <c r="AC70" s="307"/>
      <c r="AD70" s="450"/>
      <c r="AE70" s="450"/>
      <c r="AF70" s="450"/>
      <c r="AH70" s="231"/>
      <c r="AI70" s="231"/>
      <c r="AJ70" s="404">
        <v>316</v>
      </c>
      <c r="AK70" s="231"/>
    </row>
    <row r="71" spans="1:37" s="280" customFormat="1" ht="13.2" customHeight="1" x14ac:dyDescent="0.35">
      <c r="A71" s="686"/>
      <c r="B71" s="523"/>
      <c r="C71" s="724" t="e">
        <f>VLOOKUP(B69,Уч!$A$2:$L$34,7,FALSE)</f>
        <v>#N/A</v>
      </c>
      <c r="D71" s="525"/>
      <c r="E71" s="509" t="s">
        <v>29</v>
      </c>
      <c r="F71" s="523" t="e">
        <f>VLOOKUP($B69,'100 м 1'!$C$18:$I$87,7,FALSE)</f>
        <v>#N/A</v>
      </c>
      <c r="G71" s="523" t="e">
        <f>VLOOKUP($B69,'длина 2 '!$C$16:$O$54,13,FALSE)</f>
        <v>#N/A</v>
      </c>
      <c r="H71" s="523" t="e">
        <f>VLOOKUP($B69,'ядро 2'!$C$16:$K$60,9,FALSE)</f>
        <v>#N/A</v>
      </c>
      <c r="I71" s="523" t="e">
        <f>VLOOKUP($B69,'высота 2'!$C$16:$AF$57,30,)</f>
        <v>#N/A</v>
      </c>
      <c r="J71" s="526">
        <f>VLOOKUP($B69,'4_р'!$C$17:$H$73,6,FALSE)</f>
        <v>0</v>
      </c>
      <c r="K71" s="523">
        <f>VLOOKUP($B69,'1cб_р'!$C$17:$I$67,7,FALSE)</f>
        <v>0</v>
      </c>
      <c r="L71" s="523">
        <f>VLOOKUP($B69,Дс_р!$C$16:$K$70,9,FALSE)</f>
        <v>613</v>
      </c>
      <c r="M71" s="523">
        <f>VLOOKUP($B69,Ш_р!$C$15:$AF$69,30,FALSE)</f>
        <v>0</v>
      </c>
      <c r="N71" s="523">
        <f>VLOOKUP($B69,К_р!$C$15:$K$68,9,FALSE)</f>
        <v>540</v>
      </c>
      <c r="O71" s="523"/>
      <c r="P71" s="695"/>
      <c r="Q71" s="676"/>
      <c r="R71" s="695"/>
      <c r="S71" s="523">
        <f>B69</f>
        <v>56</v>
      </c>
      <c r="T71" s="287">
        <f>$A69</f>
        <v>0</v>
      </c>
      <c r="U71" s="287">
        <v>3</v>
      </c>
      <c r="V71" s="287">
        <f>$A69</f>
        <v>0</v>
      </c>
      <c r="W71" s="449"/>
      <c r="X71" s="307"/>
      <c r="Y71" s="307"/>
      <c r="Z71" s="307"/>
      <c r="AA71" s="307"/>
      <c r="AB71" s="307"/>
      <c r="AC71" s="307"/>
      <c r="AD71" s="450"/>
      <c r="AE71" s="450"/>
      <c r="AF71" s="450"/>
      <c r="AH71" s="231"/>
      <c r="AI71" s="231"/>
      <c r="AJ71" s="404">
        <v>316</v>
      </c>
      <c r="AK71" s="231"/>
    </row>
    <row r="72" spans="1:37" s="280" customFormat="1" ht="13.2" customHeight="1" x14ac:dyDescent="0.35">
      <c r="A72" s="686"/>
      <c r="B72" s="523"/>
      <c r="C72" s="723" t="e">
        <f>VLOOKUP(B69,Уч!$A$2:$L$34,11,FALSE)</f>
        <v>#N/A</v>
      </c>
      <c r="D72" s="525"/>
      <c r="E72" s="509" t="s">
        <v>276</v>
      </c>
      <c r="F72" s="523" t="e">
        <f>F71</f>
        <v>#N/A</v>
      </c>
      <c r="G72" s="523" t="e">
        <f>F72+G71</f>
        <v>#N/A</v>
      </c>
      <c r="H72" s="523" t="e">
        <f>G72+H71</f>
        <v>#N/A</v>
      </c>
      <c r="I72" s="523" t="e">
        <f>H72+I71</f>
        <v>#N/A</v>
      </c>
      <c r="J72" s="526" t="e">
        <f>SUM($F71:J71)</f>
        <v>#N/A</v>
      </c>
      <c r="K72" s="523" t="e">
        <f>SUM($F71:$K71)</f>
        <v>#N/A</v>
      </c>
      <c r="L72" s="523" t="e">
        <f>K72+L71</f>
        <v>#N/A</v>
      </c>
      <c r="M72" s="523" t="e">
        <f>L72+M71</f>
        <v>#N/A</v>
      </c>
      <c r="N72" s="523" t="e">
        <f>SUM($F71:$N71)</f>
        <v>#N/A</v>
      </c>
      <c r="O72" s="523"/>
      <c r="P72" s="695"/>
      <c r="Q72" s="674"/>
      <c r="R72" s="695"/>
      <c r="S72" s="523">
        <f>B69</f>
        <v>56</v>
      </c>
      <c r="T72" s="287">
        <f>$A69</f>
        <v>0</v>
      </c>
      <c r="U72" s="287">
        <v>4</v>
      </c>
      <c r="V72" s="287">
        <f>$A69</f>
        <v>0</v>
      </c>
      <c r="W72" s="372" t="e">
        <f t="shared" ref="W72" si="11">F72</f>
        <v>#N/A</v>
      </c>
      <c r="X72" s="372" t="e">
        <f t="shared" ref="X72" si="12">G72</f>
        <v>#N/A</v>
      </c>
      <c r="Y72" s="372" t="e">
        <f t="shared" ref="Y72" si="13">H72</f>
        <v>#N/A</v>
      </c>
      <c r="Z72" s="372" t="e">
        <f t="shared" ref="Z72" si="14">I72</f>
        <v>#N/A</v>
      </c>
      <c r="AA72" s="372" t="e">
        <f t="shared" ref="AA72" si="15">J72</f>
        <v>#N/A</v>
      </c>
      <c r="AB72" s="372" t="e">
        <f t="shared" ref="AB72" si="16">K72</f>
        <v>#N/A</v>
      </c>
      <c r="AC72" s="372" t="e">
        <f t="shared" ref="AC72" si="17">L72</f>
        <v>#N/A</v>
      </c>
      <c r="AD72" s="372" t="e">
        <f t="shared" ref="AD72" si="18">M72</f>
        <v>#N/A</v>
      </c>
      <c r="AE72" s="372" t="e">
        <f t="shared" ref="AE72" si="19">N72</f>
        <v>#N/A</v>
      </c>
      <c r="AF72" s="372">
        <f t="shared" ref="AF72" si="20">O72</f>
        <v>0</v>
      </c>
      <c r="AH72" s="231"/>
      <c r="AI72" s="231"/>
      <c r="AJ72" s="404">
        <v>316</v>
      </c>
      <c r="AK72" s="231"/>
    </row>
    <row r="73" spans="1:37" s="280" customFormat="1" ht="13.2" customHeight="1" x14ac:dyDescent="0.25">
      <c r="A73" s="625"/>
      <c r="B73" s="698"/>
      <c r="C73" s="691"/>
      <c r="D73" s="703"/>
      <c r="E73" s="692" t="s">
        <v>59</v>
      </c>
      <c r="F73" s="698" t="e">
        <f>RANK(F72,$W$14:$W$73,0)</f>
        <v>#N/A</v>
      </c>
      <c r="G73" s="698" t="e">
        <f>RANK(G72,$X$14:$X$73,0)</f>
        <v>#N/A</v>
      </c>
      <c r="H73" s="698" t="e">
        <f>RANK(H72,$Y$14:$Y$73,0)</f>
        <v>#N/A</v>
      </c>
      <c r="I73" s="698" t="e">
        <f>RANK(I72,$Z$14:$Z$72,0)</f>
        <v>#N/A</v>
      </c>
      <c r="J73" s="700" t="e">
        <f>RANK(J72,$AA$14:$AA$73,0)</f>
        <v>#N/A</v>
      </c>
      <c r="K73" s="698" t="e">
        <f>RANK(K72,$AB$14:$AB$72,0)</f>
        <v>#N/A</v>
      </c>
      <c r="L73" s="698" t="e">
        <f>RANK(L72,$AC$14:$AC$73,0)</f>
        <v>#N/A</v>
      </c>
      <c r="M73" s="698" t="e">
        <f>RANK(M72,$AD$14:$AD$73,0)</f>
        <v>#N/A</v>
      </c>
      <c r="N73" s="698" t="e">
        <f>RANK(N72,$AE$14:$AE$73,0)</f>
        <v>#N/A</v>
      </c>
      <c r="O73" s="698"/>
      <c r="P73" s="648"/>
      <c r="Q73" s="701"/>
      <c r="R73" s="696"/>
      <c r="S73" s="675">
        <f>B69</f>
        <v>56</v>
      </c>
      <c r="T73" s="287">
        <f>$A69</f>
        <v>0</v>
      </c>
      <c r="U73" s="287">
        <v>5</v>
      </c>
      <c r="V73" s="287">
        <f>$A69</f>
        <v>0</v>
      </c>
      <c r="W73" s="449"/>
      <c r="X73" s="307"/>
      <c r="Y73" s="307"/>
      <c r="Z73" s="307"/>
      <c r="AA73" s="307"/>
      <c r="AB73" s="307"/>
      <c r="AC73" s="307"/>
      <c r="AD73" s="450"/>
      <c r="AE73" s="450"/>
      <c r="AF73" s="450"/>
      <c r="AH73" s="231"/>
      <c r="AI73" s="231"/>
      <c r="AJ73" s="404">
        <v>316</v>
      </c>
      <c r="AK73" s="231"/>
    </row>
    <row r="74" spans="1:37" s="280" customFormat="1" x14ac:dyDescent="0.25">
      <c r="A74" s="522"/>
      <c r="B74" s="523"/>
      <c r="C74" s="524"/>
      <c r="D74" s="525"/>
      <c r="E74" s="722"/>
      <c r="F74" s="523"/>
      <c r="G74" s="523"/>
      <c r="H74" s="523"/>
      <c r="I74" s="523"/>
      <c r="J74" s="526"/>
      <c r="K74" s="523"/>
      <c r="L74" s="523"/>
      <c r="M74" s="523"/>
      <c r="N74" s="523"/>
      <c r="O74" s="523"/>
      <c r="P74" s="650"/>
      <c r="Q74" s="527"/>
      <c r="R74" s="527"/>
      <c r="S74" s="675"/>
      <c r="T74" s="287"/>
      <c r="U74" s="287"/>
      <c r="V74" s="287"/>
      <c r="W74" s="449"/>
      <c r="X74" s="307"/>
      <c r="Y74" s="307"/>
      <c r="Z74" s="307"/>
      <c r="AA74" s="307"/>
      <c r="AB74" s="307"/>
      <c r="AC74" s="307"/>
      <c r="AD74" s="450"/>
      <c r="AE74" s="450"/>
      <c r="AF74" s="450"/>
      <c r="AH74" s="231"/>
      <c r="AI74" s="231"/>
      <c r="AJ74" s="404"/>
      <c r="AK74" s="231"/>
    </row>
    <row r="75" spans="1:37" x14ac:dyDescent="0.25">
      <c r="A75" s="576"/>
      <c r="B75" s="711"/>
      <c r="C75" s="576"/>
      <c r="D75" s="684"/>
      <c r="E75" s="576"/>
      <c r="F75" s="576"/>
      <c r="G75" s="711"/>
      <c r="H75" s="711"/>
      <c r="I75" s="576"/>
      <c r="J75" s="576"/>
      <c r="K75" s="711"/>
      <c r="L75" s="711"/>
      <c r="M75" s="711"/>
      <c r="N75" s="711"/>
      <c r="O75" s="711"/>
      <c r="P75" s="666"/>
      <c r="Q75" s="666"/>
      <c r="R75" s="666"/>
      <c r="S75" s="666"/>
    </row>
    <row r="77" spans="1:37" x14ac:dyDescent="0.25">
      <c r="B77" s="250" t="s">
        <v>339</v>
      </c>
      <c r="C77" s="576"/>
      <c r="D77" s="576"/>
      <c r="E77" s="711"/>
      <c r="F77" s="576"/>
      <c r="G77" s="711"/>
      <c r="H77" s="711"/>
      <c r="I77" s="666"/>
      <c r="J77" s="666"/>
      <c r="K77" s="666"/>
      <c r="L77" s="666"/>
      <c r="M77" s="666"/>
      <c r="N77" s="666" t="s">
        <v>340</v>
      </c>
    </row>
    <row r="78" spans="1:37" x14ac:dyDescent="0.25">
      <c r="B78" s="250"/>
      <c r="D78" s="41"/>
      <c r="E78" s="709"/>
      <c r="I78" s="149"/>
      <c r="J78" s="149"/>
      <c r="K78" s="149"/>
      <c r="L78" s="149"/>
      <c r="M78" s="149"/>
      <c r="N78" s="149"/>
    </row>
    <row r="79" spans="1:37" x14ac:dyDescent="0.25">
      <c r="B79" s="250" t="s">
        <v>341</v>
      </c>
      <c r="D79" s="41"/>
      <c r="E79" s="709"/>
      <c r="I79" s="666"/>
      <c r="J79" s="666"/>
      <c r="K79" s="666"/>
      <c r="L79" s="149"/>
      <c r="M79" s="149"/>
      <c r="N79" s="666" t="s">
        <v>342</v>
      </c>
    </row>
    <row r="84" spans="3:10" ht="15.6" x14ac:dyDescent="0.25">
      <c r="C84" s="497"/>
      <c r="D84" s="498"/>
      <c r="E84" s="497"/>
      <c r="F84" s="499"/>
      <c r="G84" s="497"/>
      <c r="H84" s="497"/>
      <c r="I84" s="497"/>
      <c r="J84" s="498"/>
    </row>
    <row r="85" spans="3:10" x14ac:dyDescent="0.25">
      <c r="D85" s="41"/>
      <c r="G85" s="41"/>
      <c r="H85" s="41"/>
    </row>
    <row r="86" spans="3:10" ht="15.6" x14ac:dyDescent="0.25">
      <c r="C86" s="497"/>
      <c r="D86" s="498"/>
      <c r="E86" s="497"/>
      <c r="F86" s="499"/>
      <c r="G86" s="497"/>
      <c r="H86" s="497"/>
      <c r="I86" s="497"/>
      <c r="J86" s="499"/>
    </row>
    <row r="87" spans="3:10" ht="15.6" x14ac:dyDescent="0.25">
      <c r="C87" s="497"/>
      <c r="D87" s="498"/>
      <c r="E87" s="497"/>
      <c r="F87" s="499"/>
      <c r="G87" s="497"/>
      <c r="H87" s="497"/>
      <c r="I87" s="497"/>
      <c r="J87" s="498"/>
    </row>
  </sheetData>
  <sortState ref="A14:AY68">
    <sortCondition ref="T14:T68"/>
  </sortState>
  <mergeCells count="7">
    <mergeCell ref="A8:B8"/>
    <mergeCell ref="A1:R1"/>
    <mergeCell ref="A2:R2"/>
    <mergeCell ref="A3:R3"/>
    <mergeCell ref="A4:R4"/>
    <mergeCell ref="A5:R5"/>
    <mergeCell ref="A6:R6"/>
  </mergeCells>
  <pageMargins left="0.7" right="0.7" top="0.75" bottom="0.75" header="0.3" footer="0.3"/>
  <pageSetup paperSize="9" scale="74" orientation="landscape" verticalDpi="4294967295" r:id="rId1"/>
  <rowBreaks count="1" manualBreakCount="1">
    <brk id="48" max="17" man="1"/>
  </rowBreaks>
  <colBreaks count="1" manualBreakCount="1">
    <brk id="18" max="1048575" man="1"/>
  </col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8"/>
  <sheetViews>
    <sheetView view="pageBreakPreview" zoomScale="60" workbookViewId="0">
      <selection activeCell="B56" sqref="B56:B58"/>
    </sheetView>
  </sheetViews>
  <sheetFormatPr defaultColWidth="9.109375" defaultRowHeight="13.2" outlineLevelCol="1" x14ac:dyDescent="0.25"/>
  <cols>
    <col min="1" max="1" width="4.88671875" style="41" customWidth="1"/>
    <col min="2" max="2" width="8.44140625" style="709" customWidth="1"/>
    <col min="3" max="3" width="46.77734375" style="41" customWidth="1"/>
    <col min="4" max="4" width="10.21875" style="250" customWidth="1"/>
    <col min="5" max="5" width="7.21875" style="41" customWidth="1"/>
    <col min="6" max="6" width="5.77734375" style="41" customWidth="1"/>
    <col min="7" max="7" width="6.109375" style="709" customWidth="1"/>
    <col min="8" max="8" width="6.21875" style="709" customWidth="1"/>
    <col min="9" max="9" width="6.21875" style="41" customWidth="1"/>
    <col min="10" max="10" width="8.6640625" style="41" customWidth="1"/>
    <col min="11" max="11" width="9.77734375" style="709" customWidth="1" outlineLevel="1"/>
    <col min="12" max="12" width="6.109375" style="709" customWidth="1" outlineLevel="1"/>
    <col min="13" max="13" width="6.6640625" style="709" customWidth="1" outlineLevel="1"/>
    <col min="14" max="14" width="6" style="709" customWidth="1" outlineLevel="1"/>
    <col min="15" max="15" width="6.33203125" style="709" customWidth="1" outlineLevel="1"/>
    <col min="16" max="16" width="5.6640625" style="149" customWidth="1"/>
    <col min="17" max="17" width="5.21875" style="149" customWidth="1"/>
    <col min="18" max="18" width="9.44140625" style="149" customWidth="1"/>
    <col min="19" max="19" width="5.21875" style="149" bestFit="1" customWidth="1"/>
    <col min="20" max="20" width="4.109375" style="149" customWidth="1"/>
    <col min="21" max="21" width="2.109375" style="149" bestFit="1" customWidth="1"/>
    <col min="22" max="22" width="5.44140625" style="149" bestFit="1" customWidth="1"/>
    <col min="23" max="23" width="8" style="41" customWidth="1" outlineLevel="1"/>
    <col min="24" max="24" width="8.44140625" style="41" customWidth="1" outlineLevel="1"/>
    <col min="25" max="25" width="5.6640625" style="41" customWidth="1" outlineLevel="1"/>
    <col min="26" max="26" width="8" style="41" customWidth="1" outlineLevel="1"/>
    <col min="27" max="27" width="5.6640625" style="41" customWidth="1" outlineLevel="1"/>
    <col min="28" max="28" width="6" style="41" customWidth="1" outlineLevel="1"/>
    <col min="29" max="29" width="5" style="41" customWidth="1" outlineLevel="1"/>
    <col min="30" max="30" width="6" style="41" customWidth="1" outlineLevel="1"/>
    <col min="31" max="31" width="6.88671875" style="41" customWidth="1" outlineLevel="1"/>
    <col min="32" max="32" width="5.109375" style="41" customWidth="1" outlineLevel="1"/>
    <col min="33" max="33" width="5.109375" style="41" bestFit="1" customWidth="1"/>
    <col min="34" max="34" width="10.33203125" style="709" bestFit="1" customWidth="1"/>
    <col min="35" max="35" width="6.5546875" style="709" bestFit="1" customWidth="1"/>
    <col min="36" max="36" width="4.6640625" style="41" bestFit="1" customWidth="1"/>
    <col min="37" max="37" width="4.88671875" style="709" bestFit="1" customWidth="1"/>
    <col min="38" max="38" width="5.109375" style="41" bestFit="1" customWidth="1"/>
    <col min="39" max="41" width="3.109375" style="41" bestFit="1" customWidth="1"/>
    <col min="42" max="16384" width="9.109375" style="41"/>
  </cols>
  <sheetData>
    <row r="1" spans="1:51" ht="13.2" customHeight="1" x14ac:dyDescent="0.25">
      <c r="A1" s="803" t="str">
        <f>Расп!$A$21</f>
        <v>МИНИСТЕРСТВО СПОРТА РОССИЙСКОЙ ФЕДЕРАЦИИ</v>
      </c>
      <c r="B1" s="803"/>
      <c r="C1" s="803"/>
      <c r="D1" s="803"/>
      <c r="E1" s="803"/>
      <c r="F1" s="803"/>
      <c r="G1" s="803"/>
      <c r="H1" s="803"/>
      <c r="I1" s="803"/>
      <c r="J1" s="803"/>
      <c r="K1" s="803"/>
      <c r="L1" s="803"/>
      <c r="M1" s="803"/>
      <c r="N1" s="803"/>
      <c r="O1" s="803"/>
      <c r="P1" s="803"/>
      <c r="Q1" s="803"/>
      <c r="R1" s="803"/>
      <c r="W1" s="145"/>
      <c r="X1" s="250" t="s">
        <v>29</v>
      </c>
      <c r="Y1" s="419">
        <v>0</v>
      </c>
      <c r="Z1" s="419"/>
      <c r="AA1" s="419"/>
      <c r="AB1" s="419"/>
      <c r="AC1" s="320">
        <v>3800</v>
      </c>
      <c r="AD1" s="320">
        <v>4600</v>
      </c>
      <c r="AE1" s="420">
        <v>5400</v>
      </c>
      <c r="AF1" s="420">
        <v>6200</v>
      </c>
      <c r="AG1" s="320">
        <v>7100</v>
      </c>
      <c r="AH1" s="320">
        <v>8150</v>
      </c>
      <c r="AI1" s="206"/>
      <c r="AJ1" s="421" t="s">
        <v>129</v>
      </c>
      <c r="AK1" s="422" t="s">
        <v>136</v>
      </c>
      <c r="AL1" s="421">
        <v>5500</v>
      </c>
      <c r="AM1" s="206"/>
      <c r="AN1" s="206"/>
    </row>
    <row r="2" spans="1:51" ht="13.2" customHeight="1" x14ac:dyDescent="0.25">
      <c r="A2" s="803" t="str">
        <f>Расп!$A$22</f>
        <v>ВСЕРОССИЙСКАЯ ФЕДЕРАЦИЯ ЛЕГКОЙ АТЛЕТИКИ</v>
      </c>
      <c r="B2" s="803"/>
      <c r="C2" s="803"/>
      <c r="D2" s="803"/>
      <c r="E2" s="803"/>
      <c r="F2" s="803"/>
      <c r="G2" s="803"/>
      <c r="H2" s="803"/>
      <c r="I2" s="803"/>
      <c r="J2" s="803"/>
      <c r="K2" s="803"/>
      <c r="L2" s="803"/>
      <c r="M2" s="803"/>
      <c r="N2" s="803"/>
      <c r="O2" s="803"/>
      <c r="P2" s="803"/>
      <c r="Q2" s="803"/>
      <c r="R2" s="803"/>
      <c r="W2" s="145"/>
      <c r="X2" s="250" t="s">
        <v>1</v>
      </c>
      <c r="Y2" s="423" t="s">
        <v>66</v>
      </c>
      <c r="Z2" s="206" t="s">
        <v>130</v>
      </c>
      <c r="AA2" s="206" t="s">
        <v>131</v>
      </c>
      <c r="AB2" s="206" t="s">
        <v>132</v>
      </c>
      <c r="AC2" s="424">
        <v>3</v>
      </c>
      <c r="AD2" s="419">
        <v>2</v>
      </c>
      <c r="AE2" s="419">
        <v>1</v>
      </c>
      <c r="AF2" s="425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1" ht="13.2" customHeight="1" x14ac:dyDescent="0.25">
      <c r="A3" s="803" t="str">
        <f>Расп!$A$25</f>
        <v>Командный чемпионат России</v>
      </c>
      <c r="B3" s="803"/>
      <c r="C3" s="803"/>
      <c r="D3" s="803"/>
      <c r="E3" s="803"/>
      <c r="F3" s="803"/>
      <c r="G3" s="803"/>
      <c r="H3" s="803"/>
      <c r="I3" s="803"/>
      <c r="J3" s="803"/>
      <c r="K3" s="803"/>
      <c r="L3" s="803"/>
      <c r="M3" s="803"/>
      <c r="N3" s="803"/>
      <c r="O3" s="803"/>
      <c r="P3" s="803"/>
      <c r="Q3" s="803"/>
      <c r="R3" s="803"/>
      <c r="W3" s="145"/>
      <c r="X3" s="250"/>
      <c r="Y3" s="206"/>
      <c r="Z3" s="206"/>
      <c r="AA3" s="206"/>
      <c r="AB3" s="206"/>
      <c r="AD3" s="206"/>
      <c r="AE3" s="206"/>
      <c r="AF3" s="426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1" ht="13.2" customHeight="1" x14ac:dyDescent="0.25">
      <c r="A4" s="803" t="str">
        <f>Расп!$A$27</f>
        <v>по многоборью</v>
      </c>
      <c r="B4" s="803"/>
      <c r="C4" s="803"/>
      <c r="D4" s="803"/>
      <c r="E4" s="803"/>
      <c r="F4" s="803"/>
      <c r="G4" s="803"/>
      <c r="H4" s="803"/>
      <c r="I4" s="803"/>
      <c r="J4" s="803"/>
      <c r="K4" s="803"/>
      <c r="L4" s="803"/>
      <c r="M4" s="803"/>
      <c r="N4" s="803"/>
      <c r="O4" s="803"/>
      <c r="P4" s="803"/>
      <c r="Q4" s="803"/>
      <c r="R4" s="80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1" ht="13.2" customHeight="1" x14ac:dyDescent="0.3">
      <c r="A5" s="804" t="s">
        <v>262</v>
      </c>
      <c r="B5" s="804"/>
      <c r="C5" s="804"/>
      <c r="D5" s="804"/>
      <c r="E5" s="804"/>
      <c r="F5" s="804"/>
      <c r="G5" s="804"/>
      <c r="H5" s="804"/>
      <c r="I5" s="804"/>
      <c r="J5" s="804"/>
      <c r="K5" s="804"/>
      <c r="L5" s="804"/>
      <c r="M5" s="804"/>
      <c r="N5" s="804"/>
      <c r="O5" s="804"/>
      <c r="P5" s="804"/>
      <c r="Q5" s="804"/>
      <c r="R5" s="80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1" ht="13.2" customHeight="1" x14ac:dyDescent="0.25">
      <c r="A6" s="801" t="s">
        <v>118</v>
      </c>
      <c r="B6" s="801"/>
      <c r="C6" s="801"/>
      <c r="D6" s="801"/>
      <c r="E6" s="801"/>
      <c r="F6" s="801"/>
      <c r="G6" s="801"/>
      <c r="H6" s="801"/>
      <c r="I6" s="801"/>
      <c r="J6" s="801"/>
      <c r="K6" s="801"/>
      <c r="L6" s="801"/>
      <c r="M6" s="801"/>
      <c r="N6" s="801"/>
      <c r="O6" s="801"/>
      <c r="P6" s="801"/>
      <c r="Q6" s="801"/>
      <c r="R6" s="80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1" ht="13.2" customHeight="1" x14ac:dyDescent="0.25">
      <c r="C7" s="709"/>
      <c r="E7" s="147"/>
      <c r="G7" s="41"/>
      <c r="H7" s="667"/>
      <c r="I7" s="427"/>
      <c r="K7" s="503" t="str">
        <f>Расп!$A$1</f>
        <v>04.09.2019 г.</v>
      </c>
      <c r="L7" s="720" t="s">
        <v>343</v>
      </c>
      <c r="M7" s="504"/>
      <c r="N7" s="500"/>
      <c r="O7" s="501"/>
      <c r="P7" s="501"/>
      <c r="Q7" s="503" t="str">
        <f>Расп!$A$7</f>
        <v>19.05.2019 г.</v>
      </c>
      <c r="R7" s="504" t="s">
        <v>344</v>
      </c>
      <c r="S7" s="709"/>
      <c r="T7" s="709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1" ht="13.2" customHeight="1" x14ac:dyDescent="0.25">
      <c r="A8" s="802" t="str">
        <f>Расп!A28</f>
        <v>Мужчины</v>
      </c>
      <c r="B8" s="802"/>
      <c r="C8" s="505" t="s">
        <v>117</v>
      </c>
      <c r="E8" s="147"/>
      <c r="G8" s="41"/>
      <c r="H8" s="667"/>
      <c r="I8" s="204"/>
      <c r="J8" s="519"/>
      <c r="K8" s="206" t="str">
        <f>Расп!A2</f>
        <v>бег 100 м</v>
      </c>
      <c r="L8" s="520">
        <f>Расп!B2</f>
        <v>0.39583333333333331</v>
      </c>
      <c r="M8" s="502"/>
      <c r="N8" s="500"/>
      <c r="O8" s="501"/>
      <c r="P8" s="501"/>
      <c r="Q8" s="518" t="str">
        <f>Расп!A8</f>
        <v>бег с барьерами 110 м (1,067 м)</v>
      </c>
      <c r="R8" s="502">
        <f>Расп!B8</f>
        <v>0.41666666666666669</v>
      </c>
      <c r="S8" s="709"/>
      <c r="T8" s="709"/>
      <c r="W8" s="152" t="s">
        <v>22</v>
      </c>
      <c r="X8" s="250" t="s">
        <v>76</v>
      </c>
      <c r="Y8" s="428">
        <v>1</v>
      </c>
      <c r="Z8" s="428">
        <v>2</v>
      </c>
      <c r="AA8" s="206">
        <v>3</v>
      </c>
      <c r="AB8" s="428" t="s">
        <v>61</v>
      </c>
      <c r="AC8" s="428" t="s">
        <v>60</v>
      </c>
      <c r="AD8" s="428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1" ht="13.2" customHeight="1" x14ac:dyDescent="0.25">
      <c r="A9" s="206" t="str">
        <f>Расп!$A$14</f>
        <v>РМ</v>
      </c>
      <c r="B9" s="709">
        <f>Расп!B14</f>
        <v>9039</v>
      </c>
      <c r="C9" s="709" t="s">
        <v>264</v>
      </c>
      <c r="G9" s="41"/>
      <c r="H9" s="667"/>
      <c r="I9" s="204"/>
      <c r="J9" s="204"/>
      <c r="K9" s="206" t="str">
        <f>Расп!A3</f>
        <v>прыжок в длину</v>
      </c>
      <c r="L9" s="520">
        <f>Расп!B3</f>
        <v>0.42708333333333331</v>
      </c>
      <c r="M9" s="502"/>
      <c r="N9" s="500"/>
      <c r="O9" s="501"/>
      <c r="P9" s="501"/>
      <c r="Q9" s="518" t="str">
        <f>Расп!A9</f>
        <v>метание диска (2,0 кг)</v>
      </c>
      <c r="R9" s="502">
        <f>Расп!B9</f>
        <v>0.4513888888888889</v>
      </c>
      <c r="S9" s="709"/>
      <c r="T9" s="709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1" ht="13.2" customHeight="1" x14ac:dyDescent="0.3">
      <c r="A10" s="206" t="str">
        <f>Расп!$A$15</f>
        <v>РЕ</v>
      </c>
      <c r="B10" s="709">
        <f>Расп!B15</f>
        <v>9026</v>
      </c>
      <c r="C10" s="709" t="s">
        <v>265</v>
      </c>
      <c r="G10" s="41"/>
      <c r="H10" s="667"/>
      <c r="I10" s="204"/>
      <c r="J10" s="204"/>
      <c r="K10" s="206" t="str">
        <f>Расп!A4</f>
        <v>толкание ядра (7,26 кг)</v>
      </c>
      <c r="L10" s="520">
        <f>Расп!B4</f>
        <v>0.46875</v>
      </c>
      <c r="M10" s="502"/>
      <c r="N10" s="501"/>
      <c r="O10" s="257"/>
      <c r="P10" s="204"/>
      <c r="Q10" s="518" t="str">
        <f>Расп!A10</f>
        <v>прыжок с шестом</v>
      </c>
      <c r="R10" s="502">
        <f>Расп!B10</f>
        <v>0.52777777777777779</v>
      </c>
      <c r="W10" s="152" t="s">
        <v>24</v>
      </c>
      <c r="X10" s="320"/>
      <c r="Y10" s="320"/>
      <c r="Z10" s="320"/>
      <c r="AA10" s="320"/>
      <c r="AB10" s="320"/>
      <c r="AC10" s="320"/>
      <c r="AD10" s="430"/>
      <c r="AE10" s="430"/>
      <c r="AF10" s="430"/>
      <c r="AH10" s="320"/>
      <c r="AI10" s="431"/>
      <c r="AJ10" s="320"/>
      <c r="AK10" s="320"/>
      <c r="AL10" s="320"/>
      <c r="AM10" s="320"/>
      <c r="AN10" s="430"/>
      <c r="AR10" s="709"/>
      <c r="AS10" s="250"/>
      <c r="AT10" s="206"/>
      <c r="AU10" s="206"/>
      <c r="AV10" s="206"/>
      <c r="AW10" s="206"/>
      <c r="AX10" s="206"/>
    </row>
    <row r="11" spans="1:51" ht="13.2" customHeight="1" x14ac:dyDescent="0.3">
      <c r="A11" s="206" t="str">
        <f>Расп!$A$16</f>
        <v>РР</v>
      </c>
      <c r="B11" s="709">
        <f>Расп!B16</f>
        <v>8698</v>
      </c>
      <c r="C11" s="709" t="s">
        <v>266</v>
      </c>
      <c r="G11" s="41"/>
      <c r="H11" s="667"/>
      <c r="I11" s="204"/>
      <c r="J11" s="204"/>
      <c r="K11" s="206" t="str">
        <f>Расп!A5</f>
        <v>прыжок в высоту</v>
      </c>
      <c r="L11" s="520">
        <f>Расп!B5</f>
        <v>0.625</v>
      </c>
      <c r="M11" s="502"/>
      <c r="N11" s="501"/>
      <c r="O11" s="257"/>
      <c r="P11" s="204"/>
      <c r="Q11" s="518" t="str">
        <f>Расп!A11</f>
        <v>метание копья (800 г)</v>
      </c>
      <c r="R11" s="502">
        <v>0.66666666666666663</v>
      </c>
      <c r="W11" s="152"/>
      <c r="X11" s="432" t="s">
        <v>133</v>
      </c>
      <c r="Y11" s="433">
        <v>5</v>
      </c>
      <c r="Z11" s="320"/>
      <c r="AA11" s="320"/>
      <c r="AB11" s="320"/>
      <c r="AC11" s="320"/>
      <c r="AD11" s="430"/>
      <c r="AE11" s="430"/>
      <c r="AF11" s="430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1" ht="13.2" customHeight="1" x14ac:dyDescent="0.3">
      <c r="A12" s="41" t="str">
        <f>Расп!$A$26</f>
        <v>г.Сочи, Адлерский район, стадион "Юность"</v>
      </c>
      <c r="C12" s="153"/>
      <c r="H12" s="668"/>
      <c r="I12" s="204"/>
      <c r="J12" s="204"/>
      <c r="K12" s="206" t="str">
        <f>Расп!A6</f>
        <v>бег 400 м</v>
      </c>
      <c r="L12" s="520">
        <f>Расп!B6</f>
        <v>0.72916666666666663</v>
      </c>
      <c r="M12" s="502"/>
      <c r="N12" s="501"/>
      <c r="O12" s="501"/>
      <c r="P12" s="204"/>
      <c r="Q12" s="518" t="str">
        <f>Расп!A12</f>
        <v>бег 1500 м</v>
      </c>
      <c r="R12" s="502">
        <v>0.72222222222222221</v>
      </c>
      <c r="W12" s="434"/>
      <c r="X12" s="320"/>
      <c r="Y12" s="320"/>
      <c r="Z12" s="320"/>
      <c r="AA12" s="320"/>
      <c r="AB12" s="320"/>
      <c r="AC12" s="320"/>
      <c r="AD12" s="430"/>
      <c r="AE12" s="430"/>
      <c r="AF12" s="430"/>
      <c r="AH12" s="41"/>
      <c r="AI12" s="41"/>
      <c r="AK12" s="41"/>
    </row>
    <row r="13" spans="1:51" s="158" customFormat="1" ht="30.6" customHeight="1" x14ac:dyDescent="0.2">
      <c r="A13" s="506" t="s">
        <v>59</v>
      </c>
      <c r="B13" s="506" t="s">
        <v>272</v>
      </c>
      <c r="C13" s="506" t="s">
        <v>350</v>
      </c>
      <c r="D13" s="506" t="s">
        <v>274</v>
      </c>
      <c r="E13" s="435"/>
      <c r="F13" s="506" t="s">
        <v>277</v>
      </c>
      <c r="G13" s="506" t="s">
        <v>248</v>
      </c>
      <c r="H13" s="506" t="s">
        <v>269</v>
      </c>
      <c r="I13" s="506" t="s">
        <v>249</v>
      </c>
      <c r="J13" s="506" t="s">
        <v>278</v>
      </c>
      <c r="K13" s="506" t="s">
        <v>268</v>
      </c>
      <c r="L13" s="506" t="s">
        <v>270</v>
      </c>
      <c r="M13" s="506" t="s">
        <v>251</v>
      </c>
      <c r="N13" s="506" t="s">
        <v>271</v>
      </c>
      <c r="O13" s="506" t="s">
        <v>279</v>
      </c>
      <c r="P13" s="507" t="s">
        <v>29</v>
      </c>
      <c r="Q13" s="507" t="s">
        <v>1</v>
      </c>
      <c r="R13" s="508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436" t="s">
        <v>70</v>
      </c>
      <c r="AE13" s="436" t="s">
        <v>18</v>
      </c>
      <c r="AF13" s="436">
        <v>1500</v>
      </c>
      <c r="AH13" s="437" t="s">
        <v>134</v>
      </c>
      <c r="AI13" s="437" t="s">
        <v>135</v>
      </c>
      <c r="AJ13" s="158" t="s">
        <v>137</v>
      </c>
    </row>
    <row r="14" spans="1:51" s="708" customFormat="1" ht="13.2" hidden="1" customHeight="1" x14ac:dyDescent="0.25">
      <c r="D14" s="429"/>
      <c r="P14" s="157"/>
      <c r="Q14" s="157"/>
      <c r="R14" s="157"/>
      <c r="S14" s="157"/>
      <c r="T14" s="157"/>
      <c r="U14" s="157"/>
      <c r="V14" s="157"/>
      <c r="W14" s="438"/>
      <c r="X14" s="399"/>
      <c r="Y14" s="399"/>
      <c r="Z14" s="399"/>
      <c r="AA14" s="399"/>
      <c r="AB14" s="399"/>
      <c r="AC14" s="399"/>
      <c r="AD14" s="439"/>
      <c r="AE14" s="439"/>
      <c r="AF14" s="439"/>
    </row>
    <row r="15" spans="1:51" s="708" customFormat="1" ht="13.2" hidden="1" customHeight="1" x14ac:dyDescent="0.25">
      <c r="A15" s="710"/>
      <c r="B15" s="710"/>
      <c r="C15" s="710"/>
      <c r="D15" s="669"/>
      <c r="E15" s="710"/>
      <c r="F15" s="710"/>
      <c r="G15" s="710"/>
      <c r="H15" s="710"/>
      <c r="I15" s="710"/>
      <c r="J15" s="710"/>
      <c r="K15" s="710"/>
      <c r="L15" s="710"/>
      <c r="M15" s="710"/>
      <c r="N15" s="710"/>
      <c r="O15" s="710"/>
      <c r="P15" s="527"/>
      <c r="Q15" s="527"/>
      <c r="R15" s="527"/>
      <c r="S15" s="157"/>
      <c r="T15" s="157"/>
      <c r="U15" s="157"/>
      <c r="V15" s="157"/>
      <c r="W15" s="152"/>
      <c r="X15" s="399"/>
      <c r="Y15" s="399"/>
      <c r="Z15" s="399"/>
      <c r="AA15" s="399"/>
      <c r="AB15" s="399"/>
      <c r="AC15" s="399"/>
      <c r="AD15" s="439"/>
      <c r="AE15" s="439"/>
      <c r="AF15" s="439"/>
    </row>
    <row r="16" spans="1:51" s="287" customFormat="1" ht="13.2" customHeight="1" x14ac:dyDescent="0.35">
      <c r="A16" s="685">
        <v>1</v>
      </c>
      <c r="B16" s="523">
        <v>1</v>
      </c>
      <c r="C16" s="687" t="str">
        <f>VLOOKUP(B16,Уч!$A$2:$L$34,2,FALSE)</f>
        <v>Переварюха Артём</v>
      </c>
      <c r="D16" s="528" t="str">
        <f>VLOOKUP(B16,Уч!$A$2:$L$34,3,FALSE)</f>
        <v>21.05.1999</v>
      </c>
      <c r="E16" s="536" t="s">
        <v>19</v>
      </c>
      <c r="F16" s="670">
        <f>VLOOKUP($B16,'100 м 1'!$C$18:$I$87,5,FALSE)</f>
        <v>11.44</v>
      </c>
      <c r="G16" s="670">
        <f>VLOOKUP($B16,'длина 2 '!$C$16:$O$54,11,FALSE)</f>
        <v>6.79</v>
      </c>
      <c r="H16" s="670">
        <f>VLOOKUP($B16,'ядро 2'!$C$16:$K$60,8,FALSE)</f>
        <v>10.74</v>
      </c>
      <c r="I16" s="670">
        <f>VLOOKUP($B16,'высота 2'!$C$16:$AF$57,29,FALSE)</f>
        <v>2</v>
      </c>
      <c r="J16" s="671" t="e">
        <f>VLOOKUP($B16,'4_р'!$C$17:$H$73,5,FALSE)</f>
        <v>#N/A</v>
      </c>
      <c r="K16" s="670" t="e">
        <f>VLOOKUP($B16,'1cб_р'!$C$17:$I$67,5,FALSE)</f>
        <v>#N/A</v>
      </c>
      <c r="L16" s="670" t="e">
        <f>VLOOKUP($B16,Дс_р!$C$16:$K$70,8,FALSE)</f>
        <v>#N/A</v>
      </c>
      <c r="M16" s="670" t="e">
        <f>VLOOKUP($B16,Ш_р!$C$15:$AF$69,29,FALSE)</f>
        <v>#N/A</v>
      </c>
      <c r="N16" s="670" t="e">
        <f>VLOOKUP($B16,К_р!$C$15:$K$68,8,FALSE)</f>
        <v>#N/A</v>
      </c>
      <c r="O16" s="523" t="e">
        <f>VLOOKUP($B16,'15_р'!$C$17:$H$86,5,FALSE)</f>
        <v>#N/A</v>
      </c>
      <c r="P16" s="643" t="e">
        <f>SUM(F18:O18)</f>
        <v>#N/A</v>
      </c>
      <c r="Q16" s="522" t="e">
        <f>LOOKUP(P16,Y$1:AH$1,Y$2:AH$2)</f>
        <v>#N/A</v>
      </c>
      <c r="R16" s="693" t="e">
        <f>AH16+AI16+5</f>
        <v>#N/A</v>
      </c>
      <c r="S16" s="523">
        <f>B16</f>
        <v>1</v>
      </c>
      <c r="T16" s="287">
        <f>$A16</f>
        <v>1</v>
      </c>
      <c r="U16" s="287">
        <v>1</v>
      </c>
      <c r="V16" s="287">
        <f>$A16</f>
        <v>1</v>
      </c>
      <c r="W16" s="449"/>
      <c r="X16" s="307"/>
      <c r="Y16" s="307"/>
      <c r="Z16" s="307"/>
      <c r="AA16" s="307"/>
      <c r="AB16" s="307"/>
      <c r="AC16" s="307"/>
      <c r="AD16" s="450"/>
      <c r="AE16" s="450"/>
      <c r="AF16" s="450"/>
      <c r="AG16" s="280"/>
      <c r="AH16" s="280" t="e">
        <f>IF(AND(T16&gt;16,P16&gt;=6200),"1",LOOKUP(T16,Y$5:AO$5,Y$6:AO$6))</f>
        <v>#N/A</v>
      </c>
      <c r="AI16" s="280" t="e">
        <f>LOOKUP(Q16,Y$8:AD$8,Y$9:AD$9)</f>
        <v>#N/A</v>
      </c>
      <c r="AJ16" s="404">
        <v>162</v>
      </c>
      <c r="AK16" s="231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  <c r="AX16" s="280"/>
      <c r="AY16" s="280"/>
    </row>
    <row r="17" spans="1:51" s="287" customFormat="1" x14ac:dyDescent="0.35">
      <c r="A17" s="686"/>
      <c r="B17" s="523"/>
      <c r="C17" s="723" t="str">
        <f>VLOOKUP(B16,Уч!$A$2:$L$34,5,FALSE)</f>
        <v xml:space="preserve">Ростовская область  </v>
      </c>
      <c r="D17" s="528" t="str">
        <f>VLOOKUP(B16,Уч!$A$2:$L$34,4,FALSE)</f>
        <v>КМС</v>
      </c>
      <c r="E17" s="509" t="s">
        <v>25</v>
      </c>
      <c r="F17" s="672">
        <f>VLOOKUP($B16,'100 м 1'!$C$18:$I$87,6,FALSE)</f>
        <v>0.8</v>
      </c>
      <c r="G17" s="672">
        <f>VLOOKUP($B16,'длина 2 '!$C$16:$O$54,12,FALSE)</f>
        <v>0</v>
      </c>
      <c r="H17" s="523"/>
      <c r="I17" s="672"/>
      <c r="J17" s="673"/>
      <c r="K17" s="672" t="e">
        <f>VLOOKUP($B16,'1cб_р'!$C$17:$I$67,6,FALSE)</f>
        <v>#N/A</v>
      </c>
      <c r="L17" s="672"/>
      <c r="M17" s="672"/>
      <c r="N17" s="523"/>
      <c r="O17" s="523"/>
      <c r="P17" s="695"/>
      <c r="Q17" s="674"/>
      <c r="R17" s="694" t="e">
        <f>CONCATENATE(AH16,"+",AI16,"+",5)</f>
        <v>#N/A</v>
      </c>
      <c r="S17" s="523">
        <f>B16</f>
        <v>1</v>
      </c>
      <c r="T17" s="287">
        <f>$A16</f>
        <v>1</v>
      </c>
      <c r="U17" s="287">
        <v>2</v>
      </c>
      <c r="V17" s="287">
        <f>$A16</f>
        <v>1</v>
      </c>
      <c r="W17" s="449"/>
      <c r="X17" s="307"/>
      <c r="Y17" s="307"/>
      <c r="Z17" s="307"/>
      <c r="AA17" s="307"/>
      <c r="AB17" s="307"/>
      <c r="AC17" s="307"/>
      <c r="AD17" s="450"/>
      <c r="AE17" s="450"/>
      <c r="AF17" s="450"/>
      <c r="AG17" s="280"/>
      <c r="AH17" s="231"/>
      <c r="AI17" s="231"/>
      <c r="AJ17" s="404">
        <v>162</v>
      </c>
      <c r="AK17" s="231"/>
      <c r="AL17" s="280"/>
      <c r="AM17" s="280"/>
      <c r="AN17" s="280"/>
      <c r="AO17" s="280"/>
      <c r="AP17" s="280"/>
      <c r="AQ17" s="280"/>
      <c r="AR17" s="280"/>
      <c r="AS17" s="280"/>
      <c r="AT17" s="280"/>
      <c r="AU17" s="280"/>
      <c r="AV17" s="280"/>
      <c r="AW17" s="280"/>
      <c r="AX17" s="280"/>
      <c r="AY17" s="280"/>
    </row>
    <row r="18" spans="1:51" s="287" customFormat="1" x14ac:dyDescent="0.35">
      <c r="A18" s="686"/>
      <c r="B18" s="523"/>
      <c r="C18" s="731" t="str">
        <f>VLOOKUP(B16,Уч!$A$2:$L$34,7,FALSE)</f>
        <v>ГБУ РО "СШОР №8" г.Ростов-на-Дону</v>
      </c>
      <c r="D18" s="528"/>
      <c r="E18" s="509" t="s">
        <v>29</v>
      </c>
      <c r="F18" s="523">
        <f>VLOOKUP($B16,'100 м 1'!$C$18:$I$87,7,FALSE)</f>
        <v>765</v>
      </c>
      <c r="G18" s="523">
        <f>VLOOKUP($B16,'длина 2 '!$C$16:$O$54,13,FALSE)</f>
        <v>0</v>
      </c>
      <c r="H18" s="523">
        <f>VLOOKUP($B16,'ядро 2'!$C$16:$K$60,9,FALSE)</f>
        <v>530</v>
      </c>
      <c r="I18" s="523">
        <f>VLOOKUP($B16,'высота 2'!$C$16:$AF$57,30,)</f>
        <v>0</v>
      </c>
      <c r="J18" s="526" t="e">
        <f>VLOOKUP($B16,'4_р'!$C$17:$H$73,6,FALSE)</f>
        <v>#N/A</v>
      </c>
      <c r="K18" s="523" t="e">
        <f>VLOOKUP($B16,'1cб_р'!$C$17:$I$67,7,FALSE)</f>
        <v>#N/A</v>
      </c>
      <c r="L18" s="523" t="e">
        <f>VLOOKUP($B16,Дс_р!$C$16:$K$70,9,FALSE)</f>
        <v>#N/A</v>
      </c>
      <c r="M18" s="523" t="e">
        <f>VLOOKUP($B16,Ш_р!$C$15:$AF$69,30,FALSE)</f>
        <v>#N/A</v>
      </c>
      <c r="N18" s="523" t="e">
        <f>VLOOKUP($B16,К_р!$C$15:$K$68,9,FALSE)</f>
        <v>#N/A</v>
      </c>
      <c r="O18" s="523" t="e">
        <f>VLOOKUP($B16,'15_р'!$C$17:$H$86,6,FALSE)</f>
        <v>#N/A</v>
      </c>
      <c r="P18" s="695"/>
      <c r="Q18" s="650"/>
      <c r="R18" s="695"/>
      <c r="S18" s="523">
        <f>B16</f>
        <v>1</v>
      </c>
      <c r="T18" s="287">
        <f>$A16</f>
        <v>1</v>
      </c>
      <c r="U18" s="287">
        <v>3</v>
      </c>
      <c r="V18" s="287">
        <f>$A16</f>
        <v>1</v>
      </c>
      <c r="W18" s="449"/>
      <c r="X18" s="307"/>
      <c r="Y18" s="307"/>
      <c r="Z18" s="307"/>
      <c r="AA18" s="307"/>
      <c r="AB18" s="307"/>
      <c r="AC18" s="307"/>
      <c r="AD18" s="450"/>
      <c r="AE18" s="450"/>
      <c r="AF18" s="450"/>
      <c r="AG18" s="280"/>
      <c r="AH18" s="231"/>
      <c r="AI18" s="231"/>
      <c r="AJ18" s="404">
        <v>162</v>
      </c>
      <c r="AK18" s="231"/>
      <c r="AL18" s="280"/>
      <c r="AM18" s="280"/>
      <c r="AN18" s="280"/>
      <c r="AO18" s="280"/>
      <c r="AP18" s="280"/>
      <c r="AQ18" s="280"/>
      <c r="AR18" s="280"/>
      <c r="AS18" s="280"/>
      <c r="AT18" s="280"/>
      <c r="AU18" s="280"/>
      <c r="AV18" s="280"/>
      <c r="AW18" s="280"/>
      <c r="AX18" s="280"/>
      <c r="AY18" s="280"/>
    </row>
    <row r="19" spans="1:51" s="287" customFormat="1" x14ac:dyDescent="0.35">
      <c r="A19" s="686"/>
      <c r="B19" s="523"/>
      <c r="C19" s="731"/>
      <c r="D19" s="528"/>
      <c r="E19" s="509" t="s">
        <v>276</v>
      </c>
      <c r="F19" s="523">
        <f>F18</f>
        <v>765</v>
      </c>
      <c r="G19" s="523">
        <f>F19+G18</f>
        <v>765</v>
      </c>
      <c r="H19" s="523">
        <f>G19+H18</f>
        <v>1295</v>
      </c>
      <c r="I19" s="523">
        <f>H19+I18</f>
        <v>1295</v>
      </c>
      <c r="J19" s="526" t="e">
        <f>SUM($F18:J18)</f>
        <v>#N/A</v>
      </c>
      <c r="K19" s="523" t="e">
        <f>SUM($F18:$K18)</f>
        <v>#N/A</v>
      </c>
      <c r="L19" s="523" t="e">
        <f>K19+L18</f>
        <v>#N/A</v>
      </c>
      <c r="M19" s="523" t="e">
        <f>L19+M18</f>
        <v>#N/A</v>
      </c>
      <c r="N19" s="523" t="e">
        <f>SUM($F18:$N18)</f>
        <v>#N/A</v>
      </c>
      <c r="O19" s="523" t="e">
        <f>SUM($F18:$O18)</f>
        <v>#N/A</v>
      </c>
      <c r="P19" s="695"/>
      <c r="Q19" s="650"/>
      <c r="R19" s="695"/>
      <c r="S19" s="523">
        <f>B16</f>
        <v>1</v>
      </c>
      <c r="T19" s="287">
        <f>$A16</f>
        <v>1</v>
      </c>
      <c r="U19" s="287">
        <v>4</v>
      </c>
      <c r="V19" s="287">
        <f>$A16</f>
        <v>1</v>
      </c>
      <c r="W19" s="372">
        <f t="shared" ref="W19:AF19" si="0">F19</f>
        <v>765</v>
      </c>
      <c r="X19" s="372">
        <f t="shared" si="0"/>
        <v>765</v>
      </c>
      <c r="Y19" s="372">
        <f t="shared" si="0"/>
        <v>1295</v>
      </c>
      <c r="Z19" s="372">
        <f t="shared" si="0"/>
        <v>1295</v>
      </c>
      <c r="AA19" s="372" t="e">
        <f t="shared" si="0"/>
        <v>#N/A</v>
      </c>
      <c r="AB19" s="372" t="e">
        <f t="shared" si="0"/>
        <v>#N/A</v>
      </c>
      <c r="AC19" s="372" t="e">
        <f t="shared" si="0"/>
        <v>#N/A</v>
      </c>
      <c r="AD19" s="372" t="e">
        <f t="shared" si="0"/>
        <v>#N/A</v>
      </c>
      <c r="AE19" s="372" t="e">
        <f t="shared" si="0"/>
        <v>#N/A</v>
      </c>
      <c r="AF19" s="372" t="e">
        <f t="shared" si="0"/>
        <v>#N/A</v>
      </c>
      <c r="AG19" s="280"/>
      <c r="AH19" s="231"/>
      <c r="AI19" s="231"/>
      <c r="AJ19" s="404">
        <v>162</v>
      </c>
      <c r="AK19" s="231"/>
      <c r="AL19" s="280"/>
      <c r="AM19" s="280"/>
      <c r="AN19" s="280"/>
      <c r="AO19" s="280"/>
      <c r="AP19" s="280"/>
      <c r="AQ19" s="280"/>
      <c r="AR19" s="280"/>
      <c r="AS19" s="280"/>
      <c r="AT19" s="280"/>
      <c r="AU19" s="280"/>
      <c r="AV19" s="280"/>
      <c r="AW19" s="280"/>
      <c r="AX19" s="280"/>
      <c r="AY19" s="280"/>
    </row>
    <row r="20" spans="1:51" s="287" customFormat="1" x14ac:dyDescent="0.25">
      <c r="A20" s="625"/>
      <c r="B20" s="698"/>
      <c r="C20" s="615" t="str">
        <f>VLOOKUP(B16,Уч!$A$2:$L$34,11,FALSE)</f>
        <v>Болдырева И.А.</v>
      </c>
      <c r="D20" s="699"/>
      <c r="E20" s="692" t="s">
        <v>59</v>
      </c>
      <c r="F20" s="698" t="e">
        <f>RANK(F19,$W$19:$W$135,0)</f>
        <v>#N/A</v>
      </c>
      <c r="G20" s="698" t="e">
        <f>RANK(G19,$X$19:$X$135,0)</f>
        <v>#N/A</v>
      </c>
      <c r="H20" s="698" t="e">
        <f>RANK(H19,$Y$19:$Y$135,0)</f>
        <v>#N/A</v>
      </c>
      <c r="I20" s="698" t="e">
        <f>RANK(I19,$Z$19:$Z$135,0)</f>
        <v>#N/A</v>
      </c>
      <c r="J20" s="700" t="e">
        <f>RANK(J19,$AA$19:$AA$110,0)</f>
        <v>#N/A</v>
      </c>
      <c r="K20" s="698" t="e">
        <f>RANK(K19,$AB$19:$AB$109,0)</f>
        <v>#N/A</v>
      </c>
      <c r="L20" s="698" t="e">
        <f>RANK(L19,$AC$19:$AC$115,0)</f>
        <v>#N/A</v>
      </c>
      <c r="M20" s="698" t="e">
        <f>RANK(M19,$AD$19:$AD$135,0)</f>
        <v>#N/A</v>
      </c>
      <c r="N20" s="698" t="e">
        <f>RANK(N19,$AE$19:$AE$135,0)</f>
        <v>#N/A</v>
      </c>
      <c r="O20" s="698" t="e">
        <f>RANK(O19,$AF$19:$AF$135,0)</f>
        <v>#N/A</v>
      </c>
      <c r="P20" s="648"/>
      <c r="Q20" s="701"/>
      <c r="R20" s="696"/>
      <c r="S20" s="675">
        <f>B16</f>
        <v>1</v>
      </c>
      <c r="T20" s="287">
        <f>$A16</f>
        <v>1</v>
      </c>
      <c r="U20" s="287">
        <v>5</v>
      </c>
      <c r="V20" s="287">
        <f>$A16</f>
        <v>1</v>
      </c>
      <c r="W20" s="449"/>
      <c r="X20" s="307"/>
      <c r="Y20" s="307"/>
      <c r="Z20" s="307"/>
      <c r="AA20" s="307"/>
      <c r="AB20" s="307"/>
      <c r="AC20" s="307"/>
      <c r="AD20" s="450"/>
      <c r="AE20" s="450"/>
      <c r="AF20" s="450"/>
      <c r="AG20" s="280"/>
      <c r="AH20" s="231"/>
      <c r="AI20" s="231"/>
      <c r="AJ20" s="404">
        <v>162</v>
      </c>
      <c r="AK20" s="231"/>
      <c r="AL20" s="280"/>
      <c r="AM20" s="280"/>
      <c r="AN20" s="280"/>
      <c r="AO20" s="280"/>
      <c r="AP20" s="280"/>
      <c r="AQ20" s="280"/>
      <c r="AR20" s="280"/>
      <c r="AS20" s="280"/>
      <c r="AT20" s="280"/>
      <c r="AU20" s="280"/>
      <c r="AV20" s="280"/>
      <c r="AW20" s="280"/>
      <c r="AX20" s="280"/>
      <c r="AY20" s="280"/>
    </row>
    <row r="21" spans="1:51" s="280" customFormat="1" x14ac:dyDescent="0.35">
      <c r="A21" s="686">
        <v>2</v>
      </c>
      <c r="B21" s="523">
        <v>39</v>
      </c>
      <c r="C21" s="690" t="str">
        <f>VLOOKUP(B21,Уч!$A$2:$L$34,2,FALSE)</f>
        <v>Левковский Андрей</v>
      </c>
      <c r="D21" s="528" t="str">
        <f>VLOOKUP(B21,Уч!$A$2:$L$34,3,FALSE)</f>
        <v>17.08.1997</v>
      </c>
      <c r="E21" s="509" t="s">
        <v>19</v>
      </c>
      <c r="F21" s="670">
        <f>VLOOKUP($B21,'100 м 1'!$C$18:$I$87,5,FALSE)</f>
        <v>11.7</v>
      </c>
      <c r="G21" s="670" t="e">
        <f>VLOOKUP($B21,'длина 2 '!$C$16:$O$54,11,FALSE)</f>
        <v>#N/A</v>
      </c>
      <c r="H21" s="670" t="e">
        <f>VLOOKUP($B21,'ядро 2'!$C$16:$K$60,8,FALSE)</f>
        <v>#N/A</v>
      </c>
      <c r="I21" s="670" t="e">
        <f>VLOOKUP($B21,'высота 2'!$C$16:$AF$57,29,FALSE)</f>
        <v>#N/A</v>
      </c>
      <c r="J21" s="671">
        <f>VLOOKUP($B21,'4_р'!$C$17:$H$73,5,FALSE)</f>
        <v>49.03</v>
      </c>
      <c r="K21" s="670">
        <f>VLOOKUP($B21,'1cб_р'!$C$17:$I$67,5,FALSE)</f>
        <v>15.49</v>
      </c>
      <c r="L21" s="670">
        <f>VLOOKUP($B21,Дс_р!$C$16:$K$70,8,FALSE)</f>
        <v>39.51</v>
      </c>
      <c r="M21" s="670">
        <f>VLOOKUP($B21,Ш_р!$C$15:$AF$69,29,FALSE)</f>
        <v>4.2</v>
      </c>
      <c r="N21" s="670">
        <f>VLOOKUP($B21,К_р!$C$15:$K$68,8,FALSE)</f>
        <v>51.08</v>
      </c>
      <c r="O21" s="523" t="str">
        <f>VLOOKUP($B21,'15_р'!$C$17:$H$86,5,FALSE)</f>
        <v>4:35.36</v>
      </c>
      <c r="P21" s="695" t="e">
        <f>SUM(F23:O23)</f>
        <v>#N/A</v>
      </c>
      <c r="Q21" s="522" t="e">
        <f>LOOKUP(P21,Y$1:AH$1,Y$2:AH$2)</f>
        <v>#N/A</v>
      </c>
      <c r="R21" s="694" t="e">
        <f>AH21+AI21+5</f>
        <v>#N/A</v>
      </c>
      <c r="S21" s="523">
        <f>B21</f>
        <v>39</v>
      </c>
      <c r="T21" s="287">
        <f>$A21</f>
        <v>2</v>
      </c>
      <c r="U21" s="287">
        <v>1</v>
      </c>
      <c r="V21" s="287">
        <f>$A21</f>
        <v>2</v>
      </c>
      <c r="W21" s="449"/>
      <c r="X21" s="307"/>
      <c r="Y21" s="307"/>
      <c r="Z21" s="307"/>
      <c r="AA21" s="307"/>
      <c r="AB21" s="307"/>
      <c r="AC21" s="307"/>
      <c r="AD21" s="450"/>
      <c r="AE21" s="450"/>
      <c r="AF21" s="450"/>
      <c r="AH21" s="280" t="e">
        <f>IF(AND(T21&gt;16,P21&gt;=6200),"1",LOOKUP(T21,Y$5:AO$5,Y$6:AO$6))</f>
        <v>#N/A</v>
      </c>
      <c r="AI21" s="280" t="e">
        <f>LOOKUP(Q21,Y$8:AD$8,Y$9:AD$9)</f>
        <v>#N/A</v>
      </c>
      <c r="AJ21" s="404">
        <v>63</v>
      </c>
      <c r="AK21" s="231"/>
    </row>
    <row r="22" spans="1:51" s="280" customFormat="1" x14ac:dyDescent="0.35">
      <c r="A22" s="686"/>
      <c r="B22" s="523"/>
      <c r="C22" s="723" t="str">
        <f>VLOOKUP(B21,Уч!$A$2:$L$34,5,FALSE)</f>
        <v xml:space="preserve">Кемеровская область  </v>
      </c>
      <c r="D22" s="528" t="str">
        <f>VLOOKUP(B21,Уч!$A$2:$L$34,4,FALSE)</f>
        <v>МС</v>
      </c>
      <c r="E22" s="509" t="s">
        <v>25</v>
      </c>
      <c r="F22" s="672">
        <f>VLOOKUP($B21,'100 м 1'!$C$18:$I$87,6,FALSE)</f>
        <v>0.1</v>
      </c>
      <c r="G22" s="672" t="e">
        <f>VLOOKUP($B21,'длина 2 '!$C$16:$O$54,12,FALSE)</f>
        <v>#N/A</v>
      </c>
      <c r="H22" s="523"/>
      <c r="I22" s="672"/>
      <c r="J22" s="673"/>
      <c r="K22" s="672">
        <f>VLOOKUP($B21,'1cб_р'!$C$17:$I$67,6,FALSE)</f>
        <v>0</v>
      </c>
      <c r="L22" s="672"/>
      <c r="M22" s="672"/>
      <c r="N22" s="523"/>
      <c r="O22" s="523"/>
      <c r="P22" s="695"/>
      <c r="Q22" s="674"/>
      <c r="R22" s="694" t="e">
        <f>CONCATENATE(AH21,"+",AI21,"+",5)</f>
        <v>#N/A</v>
      </c>
      <c r="S22" s="523">
        <f>B21</f>
        <v>39</v>
      </c>
      <c r="T22" s="287">
        <f>$A21</f>
        <v>2</v>
      </c>
      <c r="U22" s="287">
        <v>2</v>
      </c>
      <c r="V22" s="287">
        <f>$A21</f>
        <v>2</v>
      </c>
      <c r="W22" s="449"/>
      <c r="X22" s="307"/>
      <c r="Y22" s="307"/>
      <c r="Z22" s="307"/>
      <c r="AA22" s="307"/>
      <c r="AB22" s="307"/>
      <c r="AC22" s="307"/>
      <c r="AD22" s="450"/>
      <c r="AE22" s="450"/>
      <c r="AF22" s="450"/>
      <c r="AH22" s="231"/>
      <c r="AI22" s="231"/>
      <c r="AJ22" s="404">
        <v>63</v>
      </c>
      <c r="AK22" s="231"/>
    </row>
    <row r="23" spans="1:51" s="280" customFormat="1" x14ac:dyDescent="0.35">
      <c r="A23" s="686"/>
      <c r="B23" s="523"/>
      <c r="C23" s="724" t="str">
        <f>VLOOKUP(B21,Уч!$A$2:$L$34,7,FALSE)</f>
        <v>ГБФСУ КО "СШОР по легкой атлетике им. В.А.Савенкова"</v>
      </c>
      <c r="D23" s="528"/>
      <c r="E23" s="509" t="s">
        <v>29</v>
      </c>
      <c r="F23" s="523">
        <f>VLOOKUP($B21,'100 м 1'!$C$18:$I$87,7,FALSE)</f>
        <v>711</v>
      </c>
      <c r="G23" s="523" t="e">
        <f>VLOOKUP($B21,'длина 2 '!$C$16:$O$54,13,FALSE)</f>
        <v>#N/A</v>
      </c>
      <c r="H23" s="523" t="e">
        <f>VLOOKUP($B21,'ядро 2'!$C$16:$K$60,9,FALSE)</f>
        <v>#N/A</v>
      </c>
      <c r="I23" s="523" t="e">
        <f>VLOOKUP($B21,'высота 2'!$C$16:$AF$57,30,)</f>
        <v>#N/A</v>
      </c>
      <c r="J23" s="526">
        <f>VLOOKUP($B21,'4_р'!$C$17:$H$73,6,FALSE)</f>
        <v>860</v>
      </c>
      <c r="K23" s="523">
        <f>VLOOKUP($B21,'1cб_р'!$C$17:$I$67,7,FALSE)</f>
        <v>791</v>
      </c>
      <c r="L23" s="523">
        <f>VLOOKUP($B21,Дс_р!$C$16:$K$70,9,FALSE)</f>
        <v>655</v>
      </c>
      <c r="M23" s="523">
        <f>VLOOKUP($B21,Ш_р!$C$15:$AF$69,30,FALSE)</f>
        <v>673</v>
      </c>
      <c r="N23" s="523">
        <f>VLOOKUP($B21,К_р!$C$15:$K$68,9,FALSE)</f>
        <v>605</v>
      </c>
      <c r="O23" s="523">
        <f>VLOOKUP($B21,'15_р'!$C$17:$H$86,6,FALSE)</f>
        <v>710</v>
      </c>
      <c r="P23" s="695"/>
      <c r="Q23" s="674"/>
      <c r="R23" s="695"/>
      <c r="S23" s="523">
        <f>B21</f>
        <v>39</v>
      </c>
      <c r="T23" s="287">
        <f>$A21</f>
        <v>2</v>
      </c>
      <c r="U23" s="287">
        <v>3</v>
      </c>
      <c r="V23" s="287">
        <f>$A21</f>
        <v>2</v>
      </c>
      <c r="W23" s="449"/>
      <c r="X23" s="307"/>
      <c r="Y23" s="307"/>
      <c r="Z23" s="307"/>
      <c r="AA23" s="307"/>
      <c r="AB23" s="307"/>
      <c r="AC23" s="307"/>
      <c r="AD23" s="450"/>
      <c r="AE23" s="450"/>
      <c r="AF23" s="450"/>
      <c r="AH23" s="231"/>
      <c r="AI23" s="231"/>
      <c r="AJ23" s="404">
        <v>63</v>
      </c>
      <c r="AK23" s="231"/>
    </row>
    <row r="24" spans="1:51" s="280" customFormat="1" x14ac:dyDescent="0.35">
      <c r="A24" s="686"/>
      <c r="B24" s="523"/>
      <c r="C24" s="723" t="str">
        <f>VLOOKUP(B21,Уч!$A$2:$L$34,11,FALSE)</f>
        <v>Канашевич А.М., Ермишина Л.И., Ермишин Г.Н.</v>
      </c>
      <c r="D24" s="528"/>
      <c r="E24" s="509" t="s">
        <v>276</v>
      </c>
      <c r="F24" s="523">
        <f>F23</f>
        <v>711</v>
      </c>
      <c r="G24" s="523" t="e">
        <f>F24+G23</f>
        <v>#N/A</v>
      </c>
      <c r="H24" s="523" t="e">
        <f>G24+H23</f>
        <v>#N/A</v>
      </c>
      <c r="I24" s="523" t="e">
        <f>H24+I23</f>
        <v>#N/A</v>
      </c>
      <c r="J24" s="526" t="e">
        <f>SUM($F23:J23)</f>
        <v>#N/A</v>
      </c>
      <c r="K24" s="523" t="e">
        <f>SUM($F23:$K23)</f>
        <v>#N/A</v>
      </c>
      <c r="L24" s="523" t="e">
        <f>K24+L23</f>
        <v>#N/A</v>
      </c>
      <c r="M24" s="523" t="e">
        <f>L24+M23</f>
        <v>#N/A</v>
      </c>
      <c r="N24" s="523" t="e">
        <f>SUM($F23:$N23)</f>
        <v>#N/A</v>
      </c>
      <c r="O24" s="523" t="e">
        <f>SUM($F23:$O23)</f>
        <v>#N/A</v>
      </c>
      <c r="P24" s="695"/>
      <c r="Q24" s="674"/>
      <c r="R24" s="695"/>
      <c r="S24" s="523">
        <f>B21</f>
        <v>39</v>
      </c>
      <c r="T24" s="287">
        <f>$A21</f>
        <v>2</v>
      </c>
      <c r="U24" s="287">
        <v>4</v>
      </c>
      <c r="V24" s="287">
        <f>$A21</f>
        <v>2</v>
      </c>
      <c r="W24" s="372">
        <f t="shared" ref="W24:AF24" si="1">F24</f>
        <v>711</v>
      </c>
      <c r="X24" s="372" t="e">
        <f t="shared" si="1"/>
        <v>#N/A</v>
      </c>
      <c r="Y24" s="372" t="e">
        <f t="shared" si="1"/>
        <v>#N/A</v>
      </c>
      <c r="Z24" s="372" t="e">
        <f t="shared" si="1"/>
        <v>#N/A</v>
      </c>
      <c r="AA24" s="372" t="e">
        <f t="shared" si="1"/>
        <v>#N/A</v>
      </c>
      <c r="AB24" s="372" t="e">
        <f t="shared" si="1"/>
        <v>#N/A</v>
      </c>
      <c r="AC24" s="372" t="e">
        <f t="shared" si="1"/>
        <v>#N/A</v>
      </c>
      <c r="AD24" s="372" t="e">
        <f t="shared" si="1"/>
        <v>#N/A</v>
      </c>
      <c r="AE24" s="372" t="e">
        <f t="shared" si="1"/>
        <v>#N/A</v>
      </c>
      <c r="AF24" s="372" t="e">
        <f t="shared" si="1"/>
        <v>#N/A</v>
      </c>
      <c r="AH24" s="231"/>
      <c r="AI24" s="231"/>
      <c r="AJ24" s="404">
        <v>63</v>
      </c>
      <c r="AK24" s="231"/>
    </row>
    <row r="25" spans="1:51" s="280" customFormat="1" x14ac:dyDescent="0.25">
      <c r="A25" s="625"/>
      <c r="B25" s="698"/>
      <c r="C25" s="691"/>
      <c r="D25" s="699"/>
      <c r="E25" s="692" t="s">
        <v>59</v>
      </c>
      <c r="F25" s="698" t="e">
        <f>RANK(F24,$W$19:$W$135,0)</f>
        <v>#N/A</v>
      </c>
      <c r="G25" s="698" t="e">
        <f>RANK(G24,$X$19:$X$135,0)</f>
        <v>#N/A</v>
      </c>
      <c r="H25" s="698" t="e">
        <f>RANK(H24,$Y$19:$Y$135,0)</f>
        <v>#N/A</v>
      </c>
      <c r="I25" s="698" t="e">
        <f>RANK(I24,$Z$19:$Z$40,0)</f>
        <v>#N/A</v>
      </c>
      <c r="J25" s="700" t="e">
        <f>RANK(J24,$AA$19:$AA$110,0)</f>
        <v>#N/A</v>
      </c>
      <c r="K25" s="698" t="e">
        <f>RANK(K24,$AB$19:$AB$109,0)</f>
        <v>#N/A</v>
      </c>
      <c r="L25" s="698" t="e">
        <f>RANK(L24,$AC$19:$AC$115,0)</f>
        <v>#N/A</v>
      </c>
      <c r="M25" s="698" t="e">
        <f>RANK(M24,$AD$19:$AD$40,0)</f>
        <v>#N/A</v>
      </c>
      <c r="N25" s="698" t="e">
        <f>RANK(N24,$AE$19:$AE$135,0)</f>
        <v>#N/A</v>
      </c>
      <c r="O25" s="698" t="e">
        <f>RANK(O24,$AF$19:$AF$40,0)</f>
        <v>#N/A</v>
      </c>
      <c r="P25" s="648"/>
      <c r="Q25" s="701"/>
      <c r="R25" s="696"/>
      <c r="S25" s="675">
        <f>B21</f>
        <v>39</v>
      </c>
      <c r="T25" s="287">
        <f>$A21</f>
        <v>2</v>
      </c>
      <c r="U25" s="287">
        <v>5</v>
      </c>
      <c r="V25" s="287">
        <f>$A21</f>
        <v>2</v>
      </c>
      <c r="W25" s="449"/>
      <c r="X25" s="307"/>
      <c r="Y25" s="307"/>
      <c r="Z25" s="307"/>
      <c r="AA25" s="307"/>
      <c r="AB25" s="307"/>
      <c r="AC25" s="307"/>
      <c r="AD25" s="450"/>
      <c r="AE25" s="450"/>
      <c r="AF25" s="450"/>
      <c r="AH25" s="231"/>
      <c r="AI25" s="231"/>
      <c r="AJ25" s="404">
        <v>63</v>
      </c>
      <c r="AK25" s="231"/>
    </row>
    <row r="26" spans="1:51" s="280" customFormat="1" x14ac:dyDescent="0.35">
      <c r="A26" s="686">
        <v>3</v>
      </c>
      <c r="B26" s="523">
        <v>54</v>
      </c>
      <c r="C26" s="690" t="e">
        <f>VLOOKUP(B26,Уч!$A$2:$L$34,2,FALSE)</f>
        <v>#N/A</v>
      </c>
      <c r="D26" s="528" t="e">
        <f>VLOOKUP(B26,Уч!$A$2:$L$34,3,FALSE)</f>
        <v>#N/A</v>
      </c>
      <c r="E26" s="509" t="s">
        <v>19</v>
      </c>
      <c r="F26" s="670" t="e">
        <f>VLOOKUP($B26,'100 м 1'!$C$18:$I$87,5,FALSE)</f>
        <v>#N/A</v>
      </c>
      <c r="G26" s="670" t="e">
        <f>VLOOKUP($B26,'длина 2 '!$C$16:$O$54,11,FALSE)</f>
        <v>#N/A</v>
      </c>
      <c r="H26" s="670" t="e">
        <f>VLOOKUP($B26,'ядро 2'!$C$16:$K$60,8,FALSE)</f>
        <v>#N/A</v>
      </c>
      <c r="I26" s="670" t="e">
        <f>VLOOKUP($B26,'высота 2'!$C$16:$AF$57,29,FALSE)</f>
        <v>#N/A</v>
      </c>
      <c r="J26" s="671">
        <f>VLOOKUP($B26,'4_р'!$C$17:$H$73,5,FALSE)</f>
        <v>48.99</v>
      </c>
      <c r="K26" s="670">
        <f>VLOOKUP($B26,'1cб_р'!$C$17:$I$67,5,FALSE)</f>
        <v>14.6</v>
      </c>
      <c r="L26" s="670">
        <f>VLOOKUP($B26,Дс_р!$C$16:$K$70,8,FALSE)</f>
        <v>32.299999999999997</v>
      </c>
      <c r="M26" s="670">
        <f>VLOOKUP($B26,Ш_р!$C$15:$AF$69,29,FALSE)</f>
        <v>4.0999999999999996</v>
      </c>
      <c r="N26" s="670">
        <f>VLOOKUP($B26,К_р!$C$15:$K$68,8,FALSE)</f>
        <v>48.55</v>
      </c>
      <c r="O26" s="523" t="str">
        <f>VLOOKUP($B26,'15_р'!$C$17:$H$86,5,FALSE)</f>
        <v>4:43.14</v>
      </c>
      <c r="P26" s="695" t="e">
        <f>SUM(F28:O28)</f>
        <v>#N/A</v>
      </c>
      <c r="Q26" s="522" t="e">
        <f>LOOKUP(P26,Y$1:AH$1,Y$2:AH$2)</f>
        <v>#N/A</v>
      </c>
      <c r="R26" s="694" t="e">
        <f>AH26+AI26+5</f>
        <v>#N/A</v>
      </c>
      <c r="S26" s="523">
        <f>B26</f>
        <v>54</v>
      </c>
      <c r="T26" s="287">
        <f>$A26</f>
        <v>3</v>
      </c>
      <c r="U26" s="287">
        <v>1</v>
      </c>
      <c r="V26" s="287" t="s">
        <v>162</v>
      </c>
      <c r="W26" s="449"/>
      <c r="X26" s="307"/>
      <c r="Y26" s="307"/>
      <c r="Z26" s="307"/>
      <c r="AA26" s="307"/>
      <c r="AB26" s="307"/>
      <c r="AC26" s="307"/>
      <c r="AD26" s="450"/>
      <c r="AE26" s="450"/>
      <c r="AF26" s="450"/>
      <c r="AH26" s="280" t="e">
        <f>IF(AND(T26&gt;16,P26&gt;=6200),"1",LOOKUP(T26,Y$5:AO$5,Y$6:AO$6))</f>
        <v>#N/A</v>
      </c>
      <c r="AI26" s="280" t="e">
        <f>LOOKUP(Q26,Y$8:AD$8,Y$9:AD$9)</f>
        <v>#N/A</v>
      </c>
      <c r="AJ26" s="404">
        <v>52</v>
      </c>
      <c r="AP26" s="287"/>
      <c r="AQ26" s="287"/>
      <c r="AR26" s="287"/>
      <c r="AS26" s="287"/>
      <c r="AT26" s="287"/>
      <c r="AU26" s="287"/>
      <c r="AV26" s="287"/>
      <c r="AW26" s="287"/>
      <c r="AX26" s="287"/>
      <c r="AY26" s="287"/>
    </row>
    <row r="27" spans="1:51" s="280" customFormat="1" x14ac:dyDescent="0.35">
      <c r="A27" s="686"/>
      <c r="B27" s="523"/>
      <c r="C27" s="723" t="e">
        <f>VLOOKUP(B26,Уч!$A$2:$L$34,5,FALSE)</f>
        <v>#N/A</v>
      </c>
      <c r="D27" s="525" t="e">
        <f>VLOOKUP(B26,Уч!$A$2:$L$34,4,FALSE)</f>
        <v>#N/A</v>
      </c>
      <c r="E27" s="509" t="s">
        <v>25</v>
      </c>
      <c r="F27" s="672" t="e">
        <f>VLOOKUP($B26,'100 м 1'!$C$18:$I$87,6,FALSE)</f>
        <v>#N/A</v>
      </c>
      <c r="G27" s="672" t="e">
        <f>VLOOKUP($B26,'длина 2 '!$C$16:$O$54,12,FALSE)</f>
        <v>#N/A</v>
      </c>
      <c r="H27" s="523"/>
      <c r="I27" s="672"/>
      <c r="J27" s="673"/>
      <c r="K27" s="672">
        <f>VLOOKUP($B26,'1cб_р'!$C$17:$I$67,6,FALSE)</f>
        <v>0</v>
      </c>
      <c r="L27" s="672"/>
      <c r="M27" s="672"/>
      <c r="N27" s="523"/>
      <c r="O27" s="523"/>
      <c r="P27" s="695"/>
      <c r="Q27" s="674"/>
      <c r="R27" s="694" t="e">
        <f>CONCATENATE(AH26,"+",AI26,"+",5)</f>
        <v>#N/A</v>
      </c>
      <c r="S27" s="523">
        <f>B26</f>
        <v>54</v>
      </c>
      <c r="T27" s="287">
        <f>$A26</f>
        <v>3</v>
      </c>
      <c r="U27" s="287">
        <v>2</v>
      </c>
      <c r="V27" s="287" t="s">
        <v>162</v>
      </c>
      <c r="W27" s="449"/>
      <c r="X27" s="307"/>
      <c r="Y27" s="307"/>
      <c r="Z27" s="307"/>
      <c r="AA27" s="307"/>
      <c r="AB27" s="307"/>
      <c r="AC27" s="307"/>
      <c r="AD27" s="450"/>
      <c r="AE27" s="450"/>
      <c r="AF27" s="450"/>
      <c r="AI27" s="231"/>
      <c r="AJ27" s="404">
        <v>52</v>
      </c>
      <c r="AK27" s="231"/>
      <c r="AP27" s="287"/>
      <c r="AQ27" s="287"/>
      <c r="AR27" s="287"/>
      <c r="AS27" s="287"/>
      <c r="AT27" s="287"/>
      <c r="AU27" s="287"/>
      <c r="AV27" s="287"/>
      <c r="AW27" s="287"/>
      <c r="AX27" s="287"/>
      <c r="AY27" s="287"/>
    </row>
    <row r="28" spans="1:51" s="280" customFormat="1" x14ac:dyDescent="0.35">
      <c r="A28" s="686"/>
      <c r="B28" s="523"/>
      <c r="C28" s="724" t="e">
        <f>VLOOKUP(B26,Уч!$A$2:$L$34,7,FALSE)</f>
        <v>#N/A</v>
      </c>
      <c r="D28" s="525"/>
      <c r="E28" s="509" t="s">
        <v>29</v>
      </c>
      <c r="F28" s="523" t="e">
        <f>VLOOKUP($B26,'100 м 1'!$C$18:$I$87,7,FALSE)</f>
        <v>#N/A</v>
      </c>
      <c r="G28" s="523" t="e">
        <f>VLOOKUP($B26,'длина 2 '!$C$16:$O$54,13,FALSE)</f>
        <v>#N/A</v>
      </c>
      <c r="H28" s="523" t="e">
        <f>VLOOKUP($B26,'ядро 2'!$C$16:$K$60,9,FALSE)</f>
        <v>#N/A</v>
      </c>
      <c r="I28" s="523" t="e">
        <f>VLOOKUP($B26,'высота 2'!$C$16:$AF$57,30,)</f>
        <v>#N/A</v>
      </c>
      <c r="J28" s="526">
        <f>VLOOKUP($B26,'4_р'!$C$17:$H$73,6,FALSE)</f>
        <v>862</v>
      </c>
      <c r="K28" s="523">
        <f>VLOOKUP($B26,'1cб_р'!$C$17:$I$67,7,FALSE)</f>
        <v>899</v>
      </c>
      <c r="L28" s="523">
        <f>VLOOKUP($B26,Дс_р!$C$16:$K$70,9,FALSE)</f>
        <v>510</v>
      </c>
      <c r="M28" s="523">
        <f>VLOOKUP($B26,Ш_р!$C$15:$AF$69,30,FALSE)</f>
        <v>645</v>
      </c>
      <c r="N28" s="523">
        <f>VLOOKUP($B26,К_р!$C$15:$K$68,9,FALSE)</f>
        <v>567</v>
      </c>
      <c r="O28" s="523">
        <f>VLOOKUP($B26,'15_р'!$C$17:$H$86,6,FALSE)</f>
        <v>661</v>
      </c>
      <c r="P28" s="695"/>
      <c r="Q28" s="674"/>
      <c r="R28" s="695"/>
      <c r="S28" s="523">
        <f>B26</f>
        <v>54</v>
      </c>
      <c r="T28" s="287">
        <f>$A26</f>
        <v>3</v>
      </c>
      <c r="U28" s="287">
        <v>3</v>
      </c>
      <c r="V28" s="287" t="s">
        <v>162</v>
      </c>
      <c r="W28" s="449"/>
      <c r="X28" s="307"/>
      <c r="Y28" s="307"/>
      <c r="Z28" s="307"/>
      <c r="AA28" s="307"/>
      <c r="AB28" s="307"/>
      <c r="AC28" s="307"/>
      <c r="AD28" s="450"/>
      <c r="AE28" s="450"/>
      <c r="AF28" s="450"/>
      <c r="AH28" s="231"/>
      <c r="AI28" s="231"/>
      <c r="AJ28" s="404">
        <v>52</v>
      </c>
      <c r="AK28" s="231"/>
      <c r="AP28" s="287"/>
      <c r="AQ28" s="287"/>
      <c r="AR28" s="287"/>
      <c r="AS28" s="287"/>
      <c r="AT28" s="287"/>
      <c r="AU28" s="287"/>
      <c r="AV28" s="287"/>
      <c r="AW28" s="287"/>
      <c r="AX28" s="287"/>
      <c r="AY28" s="287"/>
    </row>
    <row r="29" spans="1:51" s="280" customFormat="1" x14ac:dyDescent="0.35">
      <c r="A29" s="686"/>
      <c r="B29" s="523"/>
      <c r="C29" s="723" t="e">
        <f>VLOOKUP(B26,Уч!$A$2:$L$34,11,FALSE)</f>
        <v>#N/A</v>
      </c>
      <c r="D29" s="525"/>
      <c r="E29" s="509" t="s">
        <v>276</v>
      </c>
      <c r="F29" s="523" t="e">
        <f>F28</f>
        <v>#N/A</v>
      </c>
      <c r="G29" s="523" t="e">
        <f>F29+G28</f>
        <v>#N/A</v>
      </c>
      <c r="H29" s="523" t="e">
        <f>G29+H28</f>
        <v>#N/A</v>
      </c>
      <c r="I29" s="523" t="e">
        <f>H29+I28</f>
        <v>#N/A</v>
      </c>
      <c r="J29" s="526" t="e">
        <f>SUM($F28:J28)</f>
        <v>#N/A</v>
      </c>
      <c r="K29" s="523" t="e">
        <f>SUM($F28:$K28)</f>
        <v>#N/A</v>
      </c>
      <c r="L29" s="523" t="e">
        <f>K29+L28</f>
        <v>#N/A</v>
      </c>
      <c r="M29" s="523" t="e">
        <f>L29+M28</f>
        <v>#N/A</v>
      </c>
      <c r="N29" s="523" t="e">
        <f>SUM($F28:$N28)</f>
        <v>#N/A</v>
      </c>
      <c r="O29" s="523" t="e">
        <f>SUM($F28:$O28)</f>
        <v>#N/A</v>
      </c>
      <c r="P29" s="695"/>
      <c r="Q29" s="674"/>
      <c r="R29" s="695"/>
      <c r="S29" s="523">
        <f>B26</f>
        <v>54</v>
      </c>
      <c r="T29" s="287">
        <f>$A26</f>
        <v>3</v>
      </c>
      <c r="U29" s="287">
        <v>4</v>
      </c>
      <c r="V29" s="287" t="s">
        <v>162</v>
      </c>
      <c r="W29" s="372" t="e">
        <f t="shared" ref="W29:AF29" si="2">F29</f>
        <v>#N/A</v>
      </c>
      <c r="X29" s="372" t="e">
        <f t="shared" si="2"/>
        <v>#N/A</v>
      </c>
      <c r="Y29" s="372" t="e">
        <f t="shared" si="2"/>
        <v>#N/A</v>
      </c>
      <c r="Z29" s="372" t="e">
        <f t="shared" si="2"/>
        <v>#N/A</v>
      </c>
      <c r="AA29" s="372" t="e">
        <f t="shared" si="2"/>
        <v>#N/A</v>
      </c>
      <c r="AB29" s="372" t="e">
        <f t="shared" si="2"/>
        <v>#N/A</v>
      </c>
      <c r="AC29" s="372" t="e">
        <f t="shared" si="2"/>
        <v>#N/A</v>
      </c>
      <c r="AD29" s="372" t="e">
        <f t="shared" si="2"/>
        <v>#N/A</v>
      </c>
      <c r="AE29" s="372" t="e">
        <f t="shared" si="2"/>
        <v>#N/A</v>
      </c>
      <c r="AF29" s="372" t="e">
        <f t="shared" si="2"/>
        <v>#N/A</v>
      </c>
      <c r="AH29" s="231"/>
      <c r="AI29" s="231"/>
      <c r="AJ29" s="404">
        <v>52</v>
      </c>
      <c r="AK29" s="231"/>
      <c r="AP29" s="287"/>
      <c r="AQ29" s="287"/>
      <c r="AR29" s="287"/>
      <c r="AS29" s="287"/>
      <c r="AT29" s="287"/>
      <c r="AU29" s="287"/>
      <c r="AV29" s="287"/>
      <c r="AW29" s="287"/>
      <c r="AX29" s="287"/>
      <c r="AY29" s="287"/>
    </row>
    <row r="30" spans="1:51" s="280" customFormat="1" x14ac:dyDescent="0.25">
      <c r="A30" s="625"/>
      <c r="B30" s="698"/>
      <c r="C30" s="691"/>
      <c r="D30" s="703"/>
      <c r="E30" s="692" t="s">
        <v>59</v>
      </c>
      <c r="F30" s="698" t="e">
        <f>RANK(F29,$W$19:$W$135,0)</f>
        <v>#N/A</v>
      </c>
      <c r="G30" s="698" t="e">
        <f>RANK(G29,$X$19:$X$135,0)</f>
        <v>#N/A</v>
      </c>
      <c r="H30" s="698" t="e">
        <f>RANK(H29,$Y$19:$Y$135,0)</f>
        <v>#N/A</v>
      </c>
      <c r="I30" s="698" t="e">
        <f>RANK(I29,$Z$19:$Z$40,0)</f>
        <v>#N/A</v>
      </c>
      <c r="J30" s="700" t="e">
        <f>RANK(J29,$AA$19:$AA$110,0)</f>
        <v>#N/A</v>
      </c>
      <c r="K30" s="698" t="e">
        <f>RANK(K29,$AB$19:$AB$109,0)</f>
        <v>#N/A</v>
      </c>
      <c r="L30" s="698" t="e">
        <f>RANK(L29,$AC$19:$AC$115,0)</f>
        <v>#N/A</v>
      </c>
      <c r="M30" s="698" t="e">
        <f>RANK(M29,$AD$19:$AD$40,0)</f>
        <v>#N/A</v>
      </c>
      <c r="N30" s="698" t="e">
        <f>RANK(N29,$AE$19:$AE$135,0)</f>
        <v>#N/A</v>
      </c>
      <c r="O30" s="698" t="e">
        <f>RANK(O29,$AF$19:$AF$40,0)</f>
        <v>#N/A</v>
      </c>
      <c r="P30" s="648"/>
      <c r="Q30" s="701"/>
      <c r="R30" s="696"/>
      <c r="S30" s="675">
        <f>B26</f>
        <v>54</v>
      </c>
      <c r="T30" s="287">
        <f>$A26</f>
        <v>3</v>
      </c>
      <c r="U30" s="287">
        <v>5</v>
      </c>
      <c r="V30" s="287" t="s">
        <v>162</v>
      </c>
      <c r="W30" s="449"/>
      <c r="X30" s="307"/>
      <c r="Y30" s="307"/>
      <c r="Z30" s="307"/>
      <c r="AA30" s="307"/>
      <c r="AB30" s="307"/>
      <c r="AC30" s="307"/>
      <c r="AD30" s="450"/>
      <c r="AE30" s="450"/>
      <c r="AF30" s="450"/>
      <c r="AH30" s="231"/>
      <c r="AI30" s="231"/>
      <c r="AJ30" s="404">
        <v>52</v>
      </c>
      <c r="AK30" s="231"/>
      <c r="AP30" s="287"/>
      <c r="AQ30" s="287"/>
      <c r="AR30" s="287"/>
      <c r="AS30" s="287"/>
      <c r="AT30" s="287"/>
      <c r="AU30" s="287"/>
      <c r="AV30" s="287"/>
      <c r="AW30" s="287"/>
      <c r="AX30" s="287"/>
      <c r="AY30" s="287"/>
    </row>
    <row r="31" spans="1:51" s="280" customFormat="1" x14ac:dyDescent="0.35">
      <c r="A31" s="686">
        <v>4</v>
      </c>
      <c r="B31" s="523">
        <v>2</v>
      </c>
      <c r="C31" s="690" t="str">
        <f>VLOOKUP(B31,Уч!$A$2:$L$34,2,FALSE)</f>
        <v>Игнашев Владимир</v>
      </c>
      <c r="D31" s="528" t="str">
        <f>VLOOKUP(B31,Уч!$A$2:$L$34,3,FALSE)</f>
        <v>05.10.1996</v>
      </c>
      <c r="E31" s="509" t="s">
        <v>19</v>
      </c>
      <c r="F31" s="670">
        <f>VLOOKUP($B31,'100 м 1'!$C$18:$I$87,5,FALSE)</f>
        <v>11.13</v>
      </c>
      <c r="G31" s="670" t="e">
        <f>VLOOKUP($B31,'длина 2 '!$C$16:$O$54,11,FALSE)</f>
        <v>#N/A</v>
      </c>
      <c r="H31" s="670" t="e">
        <f>VLOOKUP($B31,'ядро 2'!$C$16:$K$60,8,FALSE)</f>
        <v>#N/A</v>
      </c>
      <c r="I31" s="670" t="e">
        <f>VLOOKUP($B31,'высота 2'!$C$16:$AF$57,29,FALSE)</f>
        <v>#N/A</v>
      </c>
      <c r="J31" s="671">
        <f>VLOOKUP($B31,'4_р'!$C$17:$H$73,5,FALSE)</f>
        <v>49.89</v>
      </c>
      <c r="K31" s="670">
        <f>VLOOKUP($B31,'1cб_р'!$C$17:$I$67,5,FALSE)</f>
        <v>15.7</v>
      </c>
      <c r="L31" s="670">
        <f>VLOOKUP($B31,Дс_р!$C$16:$K$70,8,FALSE)</f>
        <v>32.450000000000003</v>
      </c>
      <c r="M31" s="670">
        <f>VLOOKUP($B31,Ш_р!$C$15:$AF$69,29,FALSE)</f>
        <v>4</v>
      </c>
      <c r="N31" s="670">
        <f>VLOOKUP($B31,К_р!$C$15:$K$68,8,FALSE)</f>
        <v>47.1</v>
      </c>
      <c r="O31" s="523" t="str">
        <f>VLOOKUP($B31,'15_р'!$C$17:$H$86,5,FALSE)</f>
        <v>4:22.85</v>
      </c>
      <c r="P31" s="695" t="e">
        <f>SUM(F33:O33)</f>
        <v>#N/A</v>
      </c>
      <c r="Q31" s="522" t="e">
        <f>LOOKUP(P31,Y$1:AH$1,Y$2:AH$2)</f>
        <v>#N/A</v>
      </c>
      <c r="R31" s="694" t="e">
        <f>AH31+AI31+5</f>
        <v>#N/A</v>
      </c>
      <c r="S31" s="523">
        <f>B31</f>
        <v>2</v>
      </c>
      <c r="T31" s="287">
        <f>$A31</f>
        <v>4</v>
      </c>
      <c r="U31" s="287">
        <v>1</v>
      </c>
      <c r="V31" s="287" t="s">
        <v>162</v>
      </c>
      <c r="W31" s="449"/>
      <c r="X31" s="307"/>
      <c r="Y31" s="307"/>
      <c r="Z31" s="307"/>
      <c r="AA31" s="307"/>
      <c r="AB31" s="307"/>
      <c r="AC31" s="307"/>
      <c r="AD31" s="450"/>
      <c r="AE31" s="450"/>
      <c r="AF31" s="450"/>
      <c r="AH31" s="280" t="e">
        <f>IF(AND(T31&gt;16,P31&gt;=6200),"1",LOOKUP(T31,Y$5:AO$5,Y$6:AO$6))</f>
        <v>#N/A</v>
      </c>
      <c r="AI31" s="280" t="e">
        <f>LOOKUP(Q31,Y$8:AD$8,Y$9:AD$9)</f>
        <v>#N/A</v>
      </c>
      <c r="AJ31" s="404">
        <v>99</v>
      </c>
      <c r="AK31" s="231"/>
    </row>
    <row r="32" spans="1:51" s="280" customFormat="1" x14ac:dyDescent="0.35">
      <c r="A32" s="686"/>
      <c r="B32" s="523"/>
      <c r="C32" s="723" t="str">
        <f>VLOOKUP(B31,Уч!$A$2:$L$34,5,FALSE)</f>
        <v xml:space="preserve">Ростовская область  </v>
      </c>
      <c r="D32" s="525" t="str">
        <f>VLOOKUP(B31,Уч!$A$2:$L$34,4,FALSE)</f>
        <v>МС</v>
      </c>
      <c r="E32" s="509" t="s">
        <v>25</v>
      </c>
      <c r="F32" s="672">
        <f>VLOOKUP($B31,'100 м 1'!$C$18:$I$87,6,FALSE)</f>
        <v>0</v>
      </c>
      <c r="G32" s="672" t="e">
        <f>VLOOKUP($B31,'длина 2 '!$C$16:$O$54,12,FALSE)</f>
        <v>#N/A</v>
      </c>
      <c r="H32" s="523"/>
      <c r="I32" s="672"/>
      <c r="J32" s="673"/>
      <c r="K32" s="672">
        <f>VLOOKUP($B31,'1cб_р'!$C$17:$I$67,6,FALSE)</f>
        <v>0</v>
      </c>
      <c r="L32" s="672"/>
      <c r="M32" s="672"/>
      <c r="N32" s="523"/>
      <c r="O32" s="523"/>
      <c r="P32" s="695"/>
      <c r="Q32" s="674"/>
      <c r="R32" s="694" t="e">
        <f>CONCATENATE(AH31,"+",AI31,"+",5)</f>
        <v>#N/A</v>
      </c>
      <c r="S32" s="523">
        <f>B31</f>
        <v>2</v>
      </c>
      <c r="T32" s="287">
        <f>$A31</f>
        <v>4</v>
      </c>
      <c r="U32" s="287">
        <v>2</v>
      </c>
      <c r="V32" s="287" t="s">
        <v>162</v>
      </c>
      <c r="W32" s="449"/>
      <c r="X32" s="307"/>
      <c r="Y32" s="307"/>
      <c r="Z32" s="307"/>
      <c r="AA32" s="307"/>
      <c r="AB32" s="307"/>
      <c r="AC32" s="307"/>
      <c r="AD32" s="450"/>
      <c r="AE32" s="450"/>
      <c r="AF32" s="450"/>
      <c r="AH32" s="231"/>
      <c r="AI32" s="231"/>
      <c r="AJ32" s="404">
        <v>99</v>
      </c>
      <c r="AK32" s="231"/>
    </row>
    <row r="33" spans="1:37" s="280" customFormat="1" x14ac:dyDescent="0.35">
      <c r="A33" s="686"/>
      <c r="B33" s="523"/>
      <c r="C33" s="724" t="str">
        <f>VLOOKUP(B31,Уч!$A$2:$L$34,7,FALSE)</f>
        <v>ГБУ РО "СШОР №8" г.Ростов-на-Дону</v>
      </c>
      <c r="D33" s="525"/>
      <c r="E33" s="509" t="s">
        <v>29</v>
      </c>
      <c r="F33" s="523">
        <f>VLOOKUP($B31,'100 м 1'!$C$18:$I$87,7,FALSE)</f>
        <v>832</v>
      </c>
      <c r="G33" s="523" t="e">
        <f>VLOOKUP($B31,'длина 2 '!$C$16:$O$54,13,FALSE)</f>
        <v>#N/A</v>
      </c>
      <c r="H33" s="523" t="e">
        <f>VLOOKUP($B31,'ядро 2'!$C$16:$K$60,9,FALSE)</f>
        <v>#N/A</v>
      </c>
      <c r="I33" s="523" t="e">
        <f>VLOOKUP($B31,'высота 2'!$C$16:$AF$57,30,)</f>
        <v>#N/A</v>
      </c>
      <c r="J33" s="526">
        <f>VLOOKUP($B31,'4_р'!$C$17:$H$73,6,FALSE)</f>
        <v>820</v>
      </c>
      <c r="K33" s="523">
        <f>VLOOKUP($B31,'1cб_р'!$C$17:$I$67,7,FALSE)</f>
        <v>767</v>
      </c>
      <c r="L33" s="523">
        <f>VLOOKUP($B31,Дс_р!$C$16:$K$70,9,FALSE)</f>
        <v>513</v>
      </c>
      <c r="M33" s="523">
        <f>VLOOKUP($B31,Ш_р!$C$15:$AF$69,30,FALSE)</f>
        <v>617</v>
      </c>
      <c r="N33" s="523">
        <f>VLOOKUP($B31,К_р!$C$15:$K$68,9,FALSE)</f>
        <v>546</v>
      </c>
      <c r="O33" s="523">
        <f>VLOOKUP($B31,'15_р'!$C$17:$H$86,6,FALSE)</f>
        <v>792</v>
      </c>
      <c r="P33" s="695"/>
      <c r="Q33" s="676"/>
      <c r="R33" s="695"/>
      <c r="S33" s="523">
        <f>B31</f>
        <v>2</v>
      </c>
      <c r="T33" s="287">
        <f>$A31</f>
        <v>4</v>
      </c>
      <c r="U33" s="287">
        <v>3</v>
      </c>
      <c r="V33" s="287" t="s">
        <v>162</v>
      </c>
      <c r="W33" s="449"/>
      <c r="X33" s="307"/>
      <c r="Y33" s="307"/>
      <c r="Z33" s="307"/>
      <c r="AA33" s="307"/>
      <c r="AB33" s="307"/>
      <c r="AC33" s="307"/>
      <c r="AD33" s="450"/>
      <c r="AE33" s="450"/>
      <c r="AF33" s="450"/>
      <c r="AH33" s="231"/>
      <c r="AI33" s="231"/>
      <c r="AJ33" s="404">
        <v>99</v>
      </c>
      <c r="AK33" s="231"/>
    </row>
    <row r="34" spans="1:37" s="280" customFormat="1" x14ac:dyDescent="0.35">
      <c r="A34" s="686"/>
      <c r="B34" s="523"/>
      <c r="C34" s="723" t="str">
        <f>VLOOKUP(B31,Уч!$A$2:$L$34,11,FALSE)</f>
        <v>Болдырева И.А., Сретенцев В.В.</v>
      </c>
      <c r="D34" s="525"/>
      <c r="E34" s="509" t="s">
        <v>276</v>
      </c>
      <c r="F34" s="523">
        <f>F33</f>
        <v>832</v>
      </c>
      <c r="G34" s="523" t="e">
        <f>F34+G33</f>
        <v>#N/A</v>
      </c>
      <c r="H34" s="523" t="e">
        <f>G34+H33</f>
        <v>#N/A</v>
      </c>
      <c r="I34" s="523" t="e">
        <f>H34+I33</f>
        <v>#N/A</v>
      </c>
      <c r="J34" s="526" t="e">
        <f>SUM($F33:J33)</f>
        <v>#N/A</v>
      </c>
      <c r="K34" s="523" t="e">
        <f>SUM($F33:$K33)</f>
        <v>#N/A</v>
      </c>
      <c r="L34" s="523" t="e">
        <f>K34+L33</f>
        <v>#N/A</v>
      </c>
      <c r="M34" s="523" t="e">
        <f>L34+M33</f>
        <v>#N/A</v>
      </c>
      <c r="N34" s="523" t="e">
        <f>SUM($F33:$N33)</f>
        <v>#N/A</v>
      </c>
      <c r="O34" s="523" t="e">
        <f>SUM($F33:$O33)</f>
        <v>#N/A</v>
      </c>
      <c r="P34" s="695"/>
      <c r="Q34" s="676"/>
      <c r="R34" s="695"/>
      <c r="S34" s="523">
        <f>B31</f>
        <v>2</v>
      </c>
      <c r="T34" s="287">
        <f>$A31</f>
        <v>4</v>
      </c>
      <c r="U34" s="287">
        <v>4</v>
      </c>
      <c r="V34" s="287" t="s">
        <v>162</v>
      </c>
      <c r="W34" s="372">
        <f t="shared" ref="W34:AF34" si="3">F34</f>
        <v>832</v>
      </c>
      <c r="X34" s="372" t="e">
        <f t="shared" si="3"/>
        <v>#N/A</v>
      </c>
      <c r="Y34" s="372" t="e">
        <f t="shared" si="3"/>
        <v>#N/A</v>
      </c>
      <c r="Z34" s="372" t="e">
        <f t="shared" si="3"/>
        <v>#N/A</v>
      </c>
      <c r="AA34" s="372" t="e">
        <f t="shared" si="3"/>
        <v>#N/A</v>
      </c>
      <c r="AB34" s="372" t="e">
        <f t="shared" si="3"/>
        <v>#N/A</v>
      </c>
      <c r="AC34" s="372" t="e">
        <f t="shared" si="3"/>
        <v>#N/A</v>
      </c>
      <c r="AD34" s="372" t="e">
        <f t="shared" si="3"/>
        <v>#N/A</v>
      </c>
      <c r="AE34" s="372" t="e">
        <f t="shared" si="3"/>
        <v>#N/A</v>
      </c>
      <c r="AF34" s="372" t="e">
        <f t="shared" si="3"/>
        <v>#N/A</v>
      </c>
      <c r="AH34" s="231"/>
      <c r="AI34" s="231"/>
      <c r="AJ34" s="404">
        <v>99</v>
      </c>
      <c r="AK34" s="231"/>
    </row>
    <row r="35" spans="1:37" s="280" customFormat="1" x14ac:dyDescent="0.25">
      <c r="A35" s="625"/>
      <c r="B35" s="698"/>
      <c r="C35" s="615"/>
      <c r="D35" s="703"/>
      <c r="E35" s="692" t="s">
        <v>59</v>
      </c>
      <c r="F35" s="698" t="e">
        <f>RANK(F34,$W$19:$W$135,0)</f>
        <v>#N/A</v>
      </c>
      <c r="G35" s="698" t="e">
        <f>RANK(G34,$X$19:$X$135,0)</f>
        <v>#N/A</v>
      </c>
      <c r="H35" s="698" t="e">
        <f>RANK(H34,$Y$19:$Y$135,0)</f>
        <v>#N/A</v>
      </c>
      <c r="I35" s="698" t="e">
        <f>RANK(I34,$Z$19:$Z$135,0)</f>
        <v>#N/A</v>
      </c>
      <c r="J35" s="700" t="e">
        <f>RANK(J34,$AA$19:$AA$110,0)</f>
        <v>#N/A</v>
      </c>
      <c r="K35" s="698" t="e">
        <f>RANK(K34,$AB$19:$AB$109,0)</f>
        <v>#N/A</v>
      </c>
      <c r="L35" s="698" t="e">
        <f>RANK(L34,$AC$19:$AC$115,0)</f>
        <v>#N/A</v>
      </c>
      <c r="M35" s="698" t="e">
        <f>RANK(M34,$AD$19:$AD$135,0)</f>
        <v>#N/A</v>
      </c>
      <c r="N35" s="698" t="e">
        <f>RANK(N34,$AE$19:$AE$135,0)</f>
        <v>#N/A</v>
      </c>
      <c r="O35" s="698" t="e">
        <f>RANK(O34,$AF$19:$AF$135,0)</f>
        <v>#N/A</v>
      </c>
      <c r="P35" s="648"/>
      <c r="Q35" s="701"/>
      <c r="R35" s="696"/>
      <c r="S35" s="675">
        <f>B31</f>
        <v>2</v>
      </c>
      <c r="T35" s="287">
        <f>$A31</f>
        <v>4</v>
      </c>
      <c r="U35" s="287">
        <v>5</v>
      </c>
      <c r="V35" s="287" t="s">
        <v>162</v>
      </c>
      <c r="W35" s="449"/>
      <c r="X35" s="307"/>
      <c r="Y35" s="307"/>
      <c r="Z35" s="307"/>
      <c r="AA35" s="307"/>
      <c r="AB35" s="307"/>
      <c r="AC35" s="307"/>
      <c r="AD35" s="450"/>
      <c r="AE35" s="450"/>
      <c r="AF35" s="450"/>
      <c r="AJ35" s="404">
        <v>99</v>
      </c>
      <c r="AK35" s="231"/>
    </row>
    <row r="36" spans="1:37" s="280" customFormat="1" x14ac:dyDescent="0.35">
      <c r="A36" s="686">
        <v>5</v>
      </c>
      <c r="B36" s="523">
        <v>45</v>
      </c>
      <c r="C36" s="690" t="str">
        <f>VLOOKUP(B36,Уч!$A$2:$L$34,2,FALSE)</f>
        <v>Бочаринский Данила</v>
      </c>
      <c r="D36" s="528" t="str">
        <f>VLOOKUP(B36,Уч!$A$2:$L$34,3,FALSE)</f>
        <v>12.01.1999</v>
      </c>
      <c r="E36" s="509" t="s">
        <v>19</v>
      </c>
      <c r="F36" s="670">
        <f>VLOOKUP($B36,'100 м 1'!$C$18:$I$87,5,FALSE)</f>
        <v>11.53</v>
      </c>
      <c r="G36" s="670">
        <f>VLOOKUP($B36,'длина 2 '!$C$16:$O$54,11,FALSE)</f>
        <v>6.57</v>
      </c>
      <c r="H36" s="670">
        <f>VLOOKUP($B36,'ядро 2'!$C$16:$K$60,8,FALSE)</f>
        <v>13.56</v>
      </c>
      <c r="I36" s="670">
        <f>VLOOKUP($B36,'высота 2'!$C$16:$AF$57,29,FALSE)</f>
        <v>1.88</v>
      </c>
      <c r="J36" s="671">
        <f>VLOOKUP($B36,'4_р'!$C$17:$H$73,5,FALSE)</f>
        <v>49.43</v>
      </c>
      <c r="K36" s="670">
        <f>VLOOKUP($B36,'1cб_р'!$C$17:$I$67,5,FALSE)</f>
        <v>16.09</v>
      </c>
      <c r="L36" s="670">
        <f>VLOOKUP($B36,Дс_р!$C$16:$K$70,8,FALSE)</f>
        <v>35.54</v>
      </c>
      <c r="M36" s="670">
        <f>VLOOKUP($B36,Ш_р!$C$15:$AF$69,29,FALSE)</f>
        <v>4</v>
      </c>
      <c r="N36" s="670">
        <f>VLOOKUP($B36,К_р!$C$15:$K$68,8,FALSE)</f>
        <v>46.9</v>
      </c>
      <c r="O36" s="523" t="str">
        <f>VLOOKUP($B36,'15_р'!$C$17:$H$86,5,FALSE)</f>
        <v>4:17.35</v>
      </c>
      <c r="P36" s="695">
        <f>SUM(F38:O38)</f>
        <v>5576</v>
      </c>
      <c r="Q36" s="522">
        <f>LOOKUP(P36,Y$1:AH$1,Y$2:AH$2)</f>
        <v>1</v>
      </c>
      <c r="R36" s="721">
        <f>AH36+AI36+5</f>
        <v>18</v>
      </c>
      <c r="S36" s="523">
        <f>B36</f>
        <v>45</v>
      </c>
      <c r="T36" s="287">
        <f>$A36</f>
        <v>5</v>
      </c>
      <c r="U36" s="287">
        <v>1</v>
      </c>
      <c r="V36" s="287">
        <f>$A36</f>
        <v>5</v>
      </c>
      <c r="W36" s="449"/>
      <c r="X36" s="307"/>
      <c r="Y36" s="307"/>
      <c r="Z36" s="307"/>
      <c r="AA36" s="307"/>
      <c r="AB36" s="307"/>
      <c r="AC36" s="307"/>
      <c r="AD36" s="450"/>
      <c r="AE36" s="450"/>
      <c r="AF36" s="450"/>
      <c r="AH36" s="280">
        <f>IF(AND(T36&gt;16,P36&gt;=6200),"1",LOOKUP(T36,Y$5:AO$5,Y$6:AO$6))</f>
        <v>13</v>
      </c>
      <c r="AI36" s="280">
        <f>LOOKUP(Q36,Y$8:AD$8,Y$9:AD$9)</f>
        <v>0</v>
      </c>
      <c r="AJ36" s="404">
        <v>54</v>
      </c>
      <c r="AK36" s="231"/>
    </row>
    <row r="37" spans="1:37" s="280" customFormat="1" x14ac:dyDescent="0.35">
      <c r="A37" s="686"/>
      <c r="B37" s="523"/>
      <c r="C37" s="723" t="str">
        <f>VLOOKUP(B36,Уч!$A$2:$L$34,5,FALSE)</f>
        <v xml:space="preserve">Кемеровская область  </v>
      </c>
      <c r="D37" s="528" t="str">
        <f>VLOOKUP(B36,Уч!$A$2:$L$34,4,FALSE)</f>
        <v>КМС</v>
      </c>
      <c r="E37" s="509" t="s">
        <v>25</v>
      </c>
      <c r="F37" s="672">
        <f>VLOOKUP($B36,'100 м 1'!$C$18:$I$87,6,FALSE)</f>
        <v>0.8</v>
      </c>
      <c r="G37" s="672">
        <f>VLOOKUP($B36,'длина 2 '!$C$16:$O$54,12,FALSE)</f>
        <v>-1.2</v>
      </c>
      <c r="H37" s="523"/>
      <c r="I37" s="672"/>
      <c r="J37" s="673"/>
      <c r="K37" s="672">
        <f>VLOOKUP($B36,'1cб_р'!$C$17:$I$67,6,FALSE)</f>
        <v>-1</v>
      </c>
      <c r="L37" s="672"/>
      <c r="M37" s="672"/>
      <c r="N37" s="523"/>
      <c r="O37" s="523"/>
      <c r="P37" s="695"/>
      <c r="Q37" s="674"/>
      <c r="R37" s="721" t="str">
        <f>CONCATENATE(AH36,"+",AI36,"+",5)</f>
        <v>13+0+5</v>
      </c>
      <c r="S37" s="523">
        <f>B36</f>
        <v>45</v>
      </c>
      <c r="T37" s="287">
        <f>$A36</f>
        <v>5</v>
      </c>
      <c r="U37" s="287">
        <v>2</v>
      </c>
      <c r="V37" s="287">
        <f>$A36</f>
        <v>5</v>
      </c>
      <c r="W37" s="449"/>
      <c r="X37" s="307"/>
      <c r="Y37" s="307"/>
      <c r="Z37" s="307"/>
      <c r="AA37" s="307"/>
      <c r="AB37" s="307"/>
      <c r="AC37" s="307"/>
      <c r="AD37" s="450"/>
      <c r="AE37" s="450"/>
      <c r="AF37" s="450"/>
      <c r="AH37" s="231"/>
      <c r="AI37" s="231"/>
      <c r="AJ37" s="404">
        <v>54</v>
      </c>
      <c r="AK37" s="231"/>
    </row>
    <row r="38" spans="1:37" s="280" customFormat="1" x14ac:dyDescent="0.35">
      <c r="A38" s="686"/>
      <c r="B38" s="523"/>
      <c r="C38" s="724" t="str">
        <f>VLOOKUP(B36,Уч!$A$2:$L$34,7,FALSE)</f>
        <v>МАФСУ "СШ №7"</v>
      </c>
      <c r="D38" s="528"/>
      <c r="E38" s="509" t="s">
        <v>29</v>
      </c>
      <c r="F38" s="523">
        <f>VLOOKUP($B36,'100 м 1'!$C$18:$I$87,7,FALSE)</f>
        <v>746</v>
      </c>
      <c r="G38" s="523">
        <f>VLOOKUP($B36,'длина 2 '!$C$16:$O$54,13,FALSE)</f>
        <v>0</v>
      </c>
      <c r="H38" s="523">
        <f>VLOOKUP($B36,'ядро 2'!$C$16:$K$60,9,FALSE)</f>
        <v>701</v>
      </c>
      <c r="I38" s="523">
        <f>VLOOKUP($B36,'высота 2'!$C$16:$AF$57,30,)</f>
        <v>0</v>
      </c>
      <c r="J38" s="526">
        <f>VLOOKUP($B36,'4_р'!$C$17:$H$73,6,FALSE)</f>
        <v>841</v>
      </c>
      <c r="K38" s="523">
        <f>VLOOKUP($B36,'1cб_р'!$C$17:$I$67,7,FALSE)</f>
        <v>723</v>
      </c>
      <c r="L38" s="523">
        <f>VLOOKUP($B36,Дс_р!$C$16:$K$70,9,FALSE)</f>
        <v>575</v>
      </c>
      <c r="M38" s="523">
        <f>VLOOKUP($B36,Ш_р!$C$15:$AF$69,30,FALSE)</f>
        <v>617</v>
      </c>
      <c r="N38" s="523">
        <f>VLOOKUP($B36,К_р!$C$15:$K$68,9,FALSE)</f>
        <v>543</v>
      </c>
      <c r="O38" s="523">
        <f>VLOOKUP($B36,'15_р'!$C$17:$H$86,6,FALSE)</f>
        <v>830</v>
      </c>
      <c r="P38" s="695"/>
      <c r="Q38" s="650"/>
      <c r="R38" s="697"/>
      <c r="S38" s="523">
        <f>B36</f>
        <v>45</v>
      </c>
      <c r="T38" s="287">
        <f>$A36</f>
        <v>5</v>
      </c>
      <c r="U38" s="287">
        <v>3</v>
      </c>
      <c r="V38" s="287">
        <f>$A36</f>
        <v>5</v>
      </c>
      <c r="W38" s="449"/>
      <c r="X38" s="307"/>
      <c r="Y38" s="307"/>
      <c r="Z38" s="307"/>
      <c r="AA38" s="307"/>
      <c r="AB38" s="307"/>
      <c r="AC38" s="307"/>
      <c r="AD38" s="450"/>
      <c r="AE38" s="450"/>
      <c r="AF38" s="450"/>
      <c r="AH38" s="231"/>
      <c r="AI38" s="231"/>
      <c r="AJ38" s="404">
        <v>54</v>
      </c>
      <c r="AK38" s="231"/>
    </row>
    <row r="39" spans="1:37" s="280" customFormat="1" x14ac:dyDescent="0.35">
      <c r="A39" s="686"/>
      <c r="B39" s="523"/>
      <c r="C39" s="723" t="str">
        <f>VLOOKUP(B36,Уч!$A$2:$L$34,11,FALSE)</f>
        <v>Чернявская Ю.В., Быков И.С., Ляпин И.М.</v>
      </c>
      <c r="D39" s="528"/>
      <c r="E39" s="509" t="s">
        <v>276</v>
      </c>
      <c r="F39" s="523">
        <f>F38</f>
        <v>746</v>
      </c>
      <c r="G39" s="523">
        <f>F39+G38</f>
        <v>746</v>
      </c>
      <c r="H39" s="523">
        <f>G39+H38</f>
        <v>1447</v>
      </c>
      <c r="I39" s="523">
        <f>H39+I38</f>
        <v>1447</v>
      </c>
      <c r="J39" s="526">
        <f>SUM($F38:J38)</f>
        <v>2288</v>
      </c>
      <c r="K39" s="523">
        <f>SUM($F38:$K38)</f>
        <v>3011</v>
      </c>
      <c r="L39" s="523">
        <f>K39+L38</f>
        <v>3586</v>
      </c>
      <c r="M39" s="523">
        <f>L39+M38</f>
        <v>4203</v>
      </c>
      <c r="N39" s="523">
        <f>SUM($F38:$N38)</f>
        <v>4746</v>
      </c>
      <c r="O39" s="523">
        <f>SUM($F38:$O38)</f>
        <v>5576</v>
      </c>
      <c r="P39" s="695"/>
      <c r="Q39" s="650"/>
      <c r="R39" s="697"/>
      <c r="S39" s="523">
        <f>B36</f>
        <v>45</v>
      </c>
      <c r="T39" s="287">
        <f>$A36</f>
        <v>5</v>
      </c>
      <c r="U39" s="287">
        <v>4</v>
      </c>
      <c r="V39" s="287">
        <f>$A36</f>
        <v>5</v>
      </c>
      <c r="W39" s="372">
        <f t="shared" ref="W39:AF39" si="4">F39</f>
        <v>746</v>
      </c>
      <c r="X39" s="372">
        <f t="shared" si="4"/>
        <v>746</v>
      </c>
      <c r="Y39" s="372">
        <f t="shared" si="4"/>
        <v>1447</v>
      </c>
      <c r="Z39" s="372">
        <f t="shared" si="4"/>
        <v>1447</v>
      </c>
      <c r="AA39" s="372">
        <f t="shared" si="4"/>
        <v>2288</v>
      </c>
      <c r="AB39" s="372">
        <f t="shared" si="4"/>
        <v>3011</v>
      </c>
      <c r="AC39" s="372">
        <f t="shared" si="4"/>
        <v>3586</v>
      </c>
      <c r="AD39" s="372">
        <f t="shared" si="4"/>
        <v>4203</v>
      </c>
      <c r="AE39" s="372">
        <f t="shared" si="4"/>
        <v>4746</v>
      </c>
      <c r="AF39" s="372">
        <f t="shared" si="4"/>
        <v>5576</v>
      </c>
      <c r="AH39" s="231"/>
      <c r="AI39" s="231"/>
      <c r="AJ39" s="404">
        <v>54</v>
      </c>
      <c r="AK39" s="231"/>
    </row>
    <row r="40" spans="1:37" s="280" customFormat="1" x14ac:dyDescent="0.25">
      <c r="A40" s="625"/>
      <c r="B40" s="698"/>
      <c r="C40" s="615"/>
      <c r="D40" s="699"/>
      <c r="E40" s="692" t="s">
        <v>59</v>
      </c>
      <c r="F40" s="698" t="e">
        <f>RANK(F39,$W$19:$W$135,0)</f>
        <v>#N/A</v>
      </c>
      <c r="G40" s="698" t="e">
        <f>RANK(G39,$X$19:$X$135,0)</f>
        <v>#N/A</v>
      </c>
      <c r="H40" s="698" t="e">
        <f>RANK(H39,$Y$19:$Y$135,0)</f>
        <v>#N/A</v>
      </c>
      <c r="I40" s="698" t="e">
        <f>RANK(I39,$Z$19:$Z$135,0)</f>
        <v>#N/A</v>
      </c>
      <c r="J40" s="700" t="e">
        <f>RANK(J39,$AA$19:$AA$110,0)</f>
        <v>#N/A</v>
      </c>
      <c r="K40" s="698" t="e">
        <f>RANK(K39,$AB$19:$AB$109,0)</f>
        <v>#N/A</v>
      </c>
      <c r="L40" s="698" t="e">
        <f>RANK(L39,$AC$19:$AC$115,0)</f>
        <v>#N/A</v>
      </c>
      <c r="M40" s="698" t="e">
        <f>RANK(M39,$AD$19:$AD$135,0)</f>
        <v>#N/A</v>
      </c>
      <c r="N40" s="698" t="e">
        <f>RANK(N39,$AE$19:$AE$135,0)</f>
        <v>#N/A</v>
      </c>
      <c r="O40" s="698" t="e">
        <f>RANK(O39,$AF$19:$AF$109,0)</f>
        <v>#N/A</v>
      </c>
      <c r="P40" s="648"/>
      <c r="Q40" s="701"/>
      <c r="R40" s="411"/>
      <c r="S40" s="675">
        <f>B36</f>
        <v>45</v>
      </c>
      <c r="T40" s="287">
        <f>$A36</f>
        <v>5</v>
      </c>
      <c r="U40" s="287">
        <v>5</v>
      </c>
      <c r="V40" s="287">
        <f>$A36</f>
        <v>5</v>
      </c>
      <c r="W40" s="449"/>
      <c r="X40" s="307"/>
      <c r="Y40" s="307"/>
      <c r="Z40" s="307"/>
      <c r="AA40" s="307"/>
      <c r="AB40" s="307"/>
      <c r="AC40" s="307"/>
      <c r="AD40" s="450"/>
      <c r="AE40" s="450"/>
      <c r="AF40" s="450"/>
      <c r="AH40" s="231"/>
      <c r="AI40" s="231"/>
      <c r="AJ40" s="404">
        <v>54</v>
      </c>
      <c r="AK40" s="231"/>
    </row>
    <row r="41" spans="1:37" s="280" customFormat="1" x14ac:dyDescent="0.35">
      <c r="A41" s="686">
        <v>6</v>
      </c>
      <c r="B41" s="523">
        <v>80</v>
      </c>
      <c r="C41" s="690" t="e">
        <f>VLOOKUP(B41,Уч!$A$2:$L$34,2,FALSE)</f>
        <v>#N/A</v>
      </c>
      <c r="D41" s="528" t="e">
        <f>VLOOKUP(B41,Уч!$A$2:$L$34,3,FALSE)</f>
        <v>#N/A</v>
      </c>
      <c r="E41" s="509" t="s">
        <v>19</v>
      </c>
      <c r="F41" s="670" t="e">
        <f>VLOOKUP($B41,'100 м 1'!$C$18:$I$87,5,FALSE)</f>
        <v>#N/A</v>
      </c>
      <c r="G41" s="670" t="e">
        <f>VLOOKUP($B41,'длина 2 '!$C$16:$O$54,11,FALSE)</f>
        <v>#N/A</v>
      </c>
      <c r="H41" s="670" t="e">
        <f>VLOOKUP($B41,'ядро 2'!$C$16:$K$60,8,FALSE)</f>
        <v>#N/A</v>
      </c>
      <c r="I41" s="670" t="e">
        <f>VLOOKUP($B41,'высота 2'!$C$16:$AF$57,29,FALSE)</f>
        <v>#N/A</v>
      </c>
      <c r="J41" s="671">
        <f>VLOOKUP($B41,'4_р'!$C$17:$H$73,5,FALSE)</f>
        <v>49.49</v>
      </c>
      <c r="K41" s="670">
        <f>VLOOKUP($B41,'1cб_р'!$C$17:$I$67,5,FALSE)</f>
        <v>15.17</v>
      </c>
      <c r="L41" s="670">
        <f>VLOOKUP($B41,Дс_р!$C$16:$K$70,8,FALSE)</f>
        <v>34.909999999999997</v>
      </c>
      <c r="M41" s="670">
        <f>VLOOKUP($B41,Ш_р!$C$15:$AF$69,29,FALSE)</f>
        <v>3.9</v>
      </c>
      <c r="N41" s="670">
        <f>VLOOKUP($B41,К_р!$C$15:$K$68,8,FALSE)</f>
        <v>37.9</v>
      </c>
      <c r="O41" s="523" t="str">
        <f>VLOOKUP($B41,'15_р'!$C$17:$H$86,5,FALSE)</f>
        <v>4:15.84</v>
      </c>
      <c r="P41" s="695" t="e">
        <f>SUM(F43:O43)</f>
        <v>#N/A</v>
      </c>
      <c r="Q41" s="522" t="e">
        <f>LOOKUP(P41,Y$1:AH$1,Y$2:AH$2)</f>
        <v>#N/A</v>
      </c>
      <c r="R41" s="721" t="e">
        <f>AH41+AI41+5</f>
        <v>#N/A</v>
      </c>
      <c r="S41" s="523">
        <f>B41</f>
        <v>80</v>
      </c>
      <c r="T41" s="287">
        <f>$A41</f>
        <v>6</v>
      </c>
      <c r="U41" s="287">
        <v>1</v>
      </c>
      <c r="V41" s="287">
        <f>$A41</f>
        <v>6</v>
      </c>
      <c r="W41" s="449"/>
      <c r="X41" s="307"/>
      <c r="Y41" s="307"/>
      <c r="Z41" s="307"/>
      <c r="AA41" s="307"/>
      <c r="AB41" s="307"/>
      <c r="AC41" s="307"/>
      <c r="AD41" s="450"/>
      <c r="AE41" s="450"/>
      <c r="AF41" s="450"/>
      <c r="AH41" s="280" t="e">
        <f>IF(AND(T41&gt;16,P41&gt;=6200),"1",LOOKUP(T41,Y$5:AO$5,Y$6:AO$6))</f>
        <v>#N/A</v>
      </c>
      <c r="AI41" s="280" t="e">
        <f>LOOKUP(Q41,Y$8:AD$8,Y$9:AD$9)</f>
        <v>#N/A</v>
      </c>
      <c r="AJ41" s="404">
        <v>459</v>
      </c>
      <c r="AK41" s="231"/>
    </row>
    <row r="42" spans="1:37" s="280" customFormat="1" x14ac:dyDescent="0.35">
      <c r="A42" s="686"/>
      <c r="B42" s="523"/>
      <c r="C42" s="723" t="e">
        <f>VLOOKUP(B41,Уч!$A$2:$L$34,5,FALSE)</f>
        <v>#N/A</v>
      </c>
      <c r="D42" s="525" t="e">
        <f>VLOOKUP(B41,Уч!$A$2:$L$34,4,FALSE)</f>
        <v>#N/A</v>
      </c>
      <c r="E42" s="509" t="s">
        <v>25</v>
      </c>
      <c r="F42" s="672" t="e">
        <f>VLOOKUP($B41,'100 м 1'!$C$18:$I$87,6,FALSE)</f>
        <v>#N/A</v>
      </c>
      <c r="G42" s="672" t="e">
        <f>VLOOKUP($B41,'длина 2 '!$C$16:$O$54,12,FALSE)</f>
        <v>#N/A</v>
      </c>
      <c r="H42" s="523"/>
      <c r="I42" s="672"/>
      <c r="J42" s="673"/>
      <c r="K42" s="672">
        <f>VLOOKUP($B41,'1cб_р'!$C$17:$I$67,6,FALSE)</f>
        <v>-1.5</v>
      </c>
      <c r="L42" s="672"/>
      <c r="M42" s="672"/>
      <c r="N42" s="523"/>
      <c r="O42" s="523"/>
      <c r="P42" s="695"/>
      <c r="Q42" s="674"/>
      <c r="R42" s="721" t="e">
        <f>CONCATENATE(AH41,"+",AI41,"+",5)</f>
        <v>#N/A</v>
      </c>
      <c r="S42" s="523">
        <f>B41</f>
        <v>80</v>
      </c>
      <c r="T42" s="287">
        <f>$A41</f>
        <v>6</v>
      </c>
      <c r="U42" s="287">
        <v>2</v>
      </c>
      <c r="V42" s="287">
        <f>$A41</f>
        <v>6</v>
      </c>
      <c r="W42" s="449"/>
      <c r="X42" s="307"/>
      <c r="Y42" s="307"/>
      <c r="Z42" s="307"/>
      <c r="AA42" s="307"/>
      <c r="AB42" s="307"/>
      <c r="AC42" s="307"/>
      <c r="AD42" s="450"/>
      <c r="AE42" s="450"/>
      <c r="AF42" s="450"/>
      <c r="AH42" s="231"/>
      <c r="AI42" s="231"/>
      <c r="AJ42" s="404">
        <v>459</v>
      </c>
      <c r="AK42" s="231"/>
    </row>
    <row r="43" spans="1:37" s="280" customFormat="1" x14ac:dyDescent="0.35">
      <c r="A43" s="686"/>
      <c r="B43" s="523"/>
      <c r="C43" s="724" t="e">
        <f>VLOOKUP(B41,Уч!$A$2:$L$34,7,FALSE)</f>
        <v>#N/A</v>
      </c>
      <c r="D43" s="525"/>
      <c r="E43" s="509" t="s">
        <v>29</v>
      </c>
      <c r="F43" s="523" t="e">
        <f>VLOOKUP($B41,'100 м 1'!$C$18:$I$87,7,FALSE)</f>
        <v>#N/A</v>
      </c>
      <c r="G43" s="523" t="e">
        <f>VLOOKUP($B41,'длина 2 '!$C$16:$O$54,13,FALSE)</f>
        <v>#N/A</v>
      </c>
      <c r="H43" s="523" t="e">
        <f>VLOOKUP($B41,'ядро 2'!$C$16:$K$60,9,FALSE)</f>
        <v>#N/A</v>
      </c>
      <c r="I43" s="523" t="e">
        <f>VLOOKUP($B41,'высота 2'!$C$16:$AF$57,30,)</f>
        <v>#N/A</v>
      </c>
      <c r="J43" s="526">
        <f>VLOOKUP($B41,'4_р'!$C$17:$H$73,6,FALSE)</f>
        <v>838</v>
      </c>
      <c r="K43" s="523">
        <f>VLOOKUP($B41,'1cб_р'!$C$17:$I$67,7,FALSE)</f>
        <v>829</v>
      </c>
      <c r="L43" s="523">
        <f>VLOOKUP($B41,Дс_р!$C$16:$K$70,9,FALSE)</f>
        <v>562</v>
      </c>
      <c r="M43" s="523">
        <f>VLOOKUP($B41,Ш_р!$C$15:$AF$69,30,FALSE)</f>
        <v>590</v>
      </c>
      <c r="N43" s="523">
        <f>VLOOKUP($B41,К_р!$C$15:$K$68,9,FALSE)</f>
        <v>412</v>
      </c>
      <c r="O43" s="523">
        <f>VLOOKUP($B41,'15_р'!$C$17:$H$86,6,FALSE)</f>
        <v>840</v>
      </c>
      <c r="P43" s="695"/>
      <c r="Q43" s="676"/>
      <c r="R43" s="697"/>
      <c r="S43" s="523">
        <f>B41</f>
        <v>80</v>
      </c>
      <c r="T43" s="287">
        <f>$A41</f>
        <v>6</v>
      </c>
      <c r="U43" s="287">
        <v>3</v>
      </c>
      <c r="V43" s="287">
        <f>$A41</f>
        <v>6</v>
      </c>
      <c r="W43" s="449"/>
      <c r="X43" s="307"/>
      <c r="Y43" s="307"/>
      <c r="Z43" s="307"/>
      <c r="AA43" s="307"/>
      <c r="AB43" s="307"/>
      <c r="AC43" s="307"/>
      <c r="AD43" s="450"/>
      <c r="AE43" s="450"/>
      <c r="AF43" s="450"/>
      <c r="AH43" s="231"/>
      <c r="AI43" s="231"/>
      <c r="AJ43" s="404">
        <v>459</v>
      </c>
      <c r="AK43" s="231"/>
    </row>
    <row r="44" spans="1:37" s="280" customFormat="1" x14ac:dyDescent="0.35">
      <c r="A44" s="686"/>
      <c r="B44" s="523"/>
      <c r="C44" s="723" t="e">
        <f>VLOOKUP(B41,Уч!$A$2:$L$34,11,FALSE)</f>
        <v>#N/A</v>
      </c>
      <c r="D44" s="525"/>
      <c r="E44" s="509" t="s">
        <v>276</v>
      </c>
      <c r="F44" s="523" t="e">
        <f>F43</f>
        <v>#N/A</v>
      </c>
      <c r="G44" s="523" t="e">
        <f>F44+G43</f>
        <v>#N/A</v>
      </c>
      <c r="H44" s="523" t="e">
        <f>G44+H43</f>
        <v>#N/A</v>
      </c>
      <c r="I44" s="523" t="e">
        <f>H44+I43</f>
        <v>#N/A</v>
      </c>
      <c r="J44" s="526" t="e">
        <f>SUM($F43:J43)</f>
        <v>#N/A</v>
      </c>
      <c r="K44" s="523" t="e">
        <f>SUM($F43:$K43)</f>
        <v>#N/A</v>
      </c>
      <c r="L44" s="523" t="e">
        <f>K44+L43</f>
        <v>#N/A</v>
      </c>
      <c r="M44" s="523" t="e">
        <f>L44+M43</f>
        <v>#N/A</v>
      </c>
      <c r="N44" s="523" t="e">
        <f>SUM($F43:$N43)</f>
        <v>#N/A</v>
      </c>
      <c r="O44" s="523" t="e">
        <f>SUM($F43:$O43)</f>
        <v>#N/A</v>
      </c>
      <c r="P44" s="695"/>
      <c r="Q44" s="674"/>
      <c r="R44" s="697"/>
      <c r="S44" s="523">
        <f>B41</f>
        <v>80</v>
      </c>
      <c r="T44" s="287">
        <f>$A41</f>
        <v>6</v>
      </c>
      <c r="U44" s="287">
        <v>4</v>
      </c>
      <c r="V44" s="287">
        <f>$A41</f>
        <v>6</v>
      </c>
      <c r="W44" s="372" t="e">
        <f t="shared" ref="W44:AF44" si="5">F44</f>
        <v>#N/A</v>
      </c>
      <c r="X44" s="372" t="e">
        <f t="shared" si="5"/>
        <v>#N/A</v>
      </c>
      <c r="Y44" s="372" t="e">
        <f t="shared" si="5"/>
        <v>#N/A</v>
      </c>
      <c r="Z44" s="372" t="e">
        <f t="shared" si="5"/>
        <v>#N/A</v>
      </c>
      <c r="AA44" s="372" t="e">
        <f t="shared" si="5"/>
        <v>#N/A</v>
      </c>
      <c r="AB44" s="372" t="e">
        <f t="shared" si="5"/>
        <v>#N/A</v>
      </c>
      <c r="AC44" s="372" t="e">
        <f t="shared" si="5"/>
        <v>#N/A</v>
      </c>
      <c r="AD44" s="372" t="e">
        <f t="shared" si="5"/>
        <v>#N/A</v>
      </c>
      <c r="AE44" s="372" t="e">
        <f t="shared" si="5"/>
        <v>#N/A</v>
      </c>
      <c r="AF44" s="372" t="e">
        <f t="shared" si="5"/>
        <v>#N/A</v>
      </c>
      <c r="AH44" s="231"/>
      <c r="AI44" s="231"/>
      <c r="AJ44" s="404">
        <v>459</v>
      </c>
      <c r="AK44" s="231"/>
    </row>
    <row r="45" spans="1:37" s="280" customFormat="1" x14ac:dyDescent="0.25">
      <c r="A45" s="625"/>
      <c r="B45" s="698"/>
      <c r="C45" s="691"/>
      <c r="D45" s="703"/>
      <c r="E45" s="692" t="s">
        <v>59</v>
      </c>
      <c r="F45" s="698" t="e">
        <f>RANK(F44,$W$19:$W$135,0)</f>
        <v>#N/A</v>
      </c>
      <c r="G45" s="698" t="e">
        <f>RANK(G44,$X$19:$X$135,0)</f>
        <v>#N/A</v>
      </c>
      <c r="H45" s="698" t="e">
        <f>RANK(H44,$Y$19:$Y$135,0)</f>
        <v>#N/A</v>
      </c>
      <c r="I45" s="698" t="e">
        <f>RANK(I44,$Z$19:$Z$135,0)</f>
        <v>#N/A</v>
      </c>
      <c r="J45" s="700" t="e">
        <f>RANK(J44,$AA$19:$AA$110,0)</f>
        <v>#N/A</v>
      </c>
      <c r="K45" s="698" t="e">
        <f>RANK(K44,$AB$19:$AB$109,0)</f>
        <v>#N/A</v>
      </c>
      <c r="L45" s="698" t="e">
        <f>RANK(L44,$AC$19:$AC$115,0)</f>
        <v>#N/A</v>
      </c>
      <c r="M45" s="698" t="e">
        <f>RANK(M44,$AD$19:$AD$135,0)</f>
        <v>#N/A</v>
      </c>
      <c r="N45" s="698" t="e">
        <f>RANK(N44,$AE$19:$AE$135,0)</f>
        <v>#N/A</v>
      </c>
      <c r="O45" s="698" t="e">
        <f>RANK(O44,$AF$19:$AF$109,0)</f>
        <v>#N/A</v>
      </c>
      <c r="P45" s="648"/>
      <c r="Q45" s="701"/>
      <c r="R45" s="411"/>
      <c r="S45" s="675">
        <f>B41</f>
        <v>80</v>
      </c>
      <c r="T45" s="287">
        <f>$A41</f>
        <v>6</v>
      </c>
      <c r="U45" s="287">
        <v>5</v>
      </c>
      <c r="V45" s="287">
        <f>$A41</f>
        <v>6</v>
      </c>
      <c r="W45" s="449"/>
      <c r="X45" s="307"/>
      <c r="Y45" s="307"/>
      <c r="Z45" s="307"/>
      <c r="AA45" s="307"/>
      <c r="AB45" s="307"/>
      <c r="AC45" s="307"/>
      <c r="AD45" s="450"/>
      <c r="AE45" s="450"/>
      <c r="AF45" s="450"/>
      <c r="AH45" s="231"/>
      <c r="AI45" s="231"/>
      <c r="AJ45" s="404">
        <v>459</v>
      </c>
      <c r="AK45" s="231"/>
    </row>
    <row r="46" spans="1:37" s="280" customFormat="1" x14ac:dyDescent="0.35">
      <c r="A46" s="686">
        <v>7</v>
      </c>
      <c r="B46" s="523">
        <v>35</v>
      </c>
      <c r="C46" s="690" t="e">
        <f>VLOOKUP(B46,Уч!$A$2:$L$34,2,FALSE)</f>
        <v>#N/A</v>
      </c>
      <c r="D46" s="528" t="e">
        <f>VLOOKUP(B46,Уч!$A$2:$L$34,3,FALSE)</f>
        <v>#N/A</v>
      </c>
      <c r="E46" s="509" t="s">
        <v>19</v>
      </c>
      <c r="F46" s="670" t="e">
        <f>VLOOKUP($B46,'100 м 1'!$C$18:$I$87,5,FALSE)</f>
        <v>#N/A</v>
      </c>
      <c r="G46" s="670" t="e">
        <f>VLOOKUP($B46,'длина 2 '!$C$16:$O$54,11,FALSE)</f>
        <v>#N/A</v>
      </c>
      <c r="H46" s="670" t="e">
        <f>VLOOKUP($B46,'ядро 2'!$C$16:$K$60,8,FALSE)</f>
        <v>#N/A</v>
      </c>
      <c r="I46" s="670" t="e">
        <f>VLOOKUP($B46,'высота 2'!$C$16:$AF$57,29,FALSE)</f>
        <v>#N/A</v>
      </c>
      <c r="J46" s="671">
        <f>VLOOKUP($B46,'4_р'!$C$17:$H$73,5,FALSE)</f>
        <v>51.77</v>
      </c>
      <c r="K46" s="670">
        <f>VLOOKUP($B46,'1cб_р'!$C$17:$I$67,5,FALSE)</f>
        <v>16.32</v>
      </c>
      <c r="L46" s="670">
        <f>VLOOKUP($B46,Дс_р!$C$16:$K$70,8,FALSE)</f>
        <v>36</v>
      </c>
      <c r="M46" s="670">
        <f>VLOOKUP($B46,Ш_р!$C$15:$AF$69,29,FALSE)</f>
        <v>3.9</v>
      </c>
      <c r="N46" s="670">
        <f>VLOOKUP($B46,К_р!$C$15:$K$68,8,FALSE)</f>
        <v>49</v>
      </c>
      <c r="O46" s="523" t="str">
        <f>VLOOKUP($B46,'15_р'!$C$17:$H$86,5,FALSE)</f>
        <v>4:36.19</v>
      </c>
      <c r="P46" s="695" t="e">
        <f>SUM(F48:O48)</f>
        <v>#N/A</v>
      </c>
      <c r="Q46" s="522" t="e">
        <f>LOOKUP(P46,Y$1:AH$1,Y$2:AH$2)</f>
        <v>#N/A</v>
      </c>
      <c r="R46" s="694" t="e">
        <f>AH46+AI46+5</f>
        <v>#N/A</v>
      </c>
      <c r="S46" s="523">
        <f>B46</f>
        <v>35</v>
      </c>
      <c r="T46" s="287">
        <f>$A46</f>
        <v>7</v>
      </c>
      <c r="U46" s="287">
        <v>1</v>
      </c>
      <c r="V46" s="287" t="s">
        <v>162</v>
      </c>
      <c r="W46" s="449"/>
      <c r="X46" s="307"/>
      <c r="Y46" s="307"/>
      <c r="Z46" s="307"/>
      <c r="AA46" s="307"/>
      <c r="AB46" s="307"/>
      <c r="AC46" s="307"/>
      <c r="AD46" s="450"/>
      <c r="AE46" s="450"/>
      <c r="AF46" s="450"/>
      <c r="AH46" s="280">
        <v>13</v>
      </c>
      <c r="AI46" s="280" t="e">
        <f>LOOKUP(Q46,Y$8:AD$8,Y$9:AD$9)</f>
        <v>#N/A</v>
      </c>
      <c r="AJ46" s="404">
        <v>97</v>
      </c>
      <c r="AK46" s="231"/>
    </row>
    <row r="47" spans="1:37" s="280" customFormat="1" x14ac:dyDescent="0.35">
      <c r="A47" s="686"/>
      <c r="B47" s="523"/>
      <c r="C47" s="723" t="e">
        <f>VLOOKUP(B46,Уч!$A$2:$L$34,5,FALSE)</f>
        <v>#N/A</v>
      </c>
      <c r="D47" s="528" t="e">
        <f>VLOOKUP(B46,Уч!$A$2:$L$34,4,FALSE)</f>
        <v>#N/A</v>
      </c>
      <c r="E47" s="509" t="s">
        <v>25</v>
      </c>
      <c r="F47" s="672" t="e">
        <f>VLOOKUP($B46,'100 м 1'!$C$18:$I$87,6,FALSE)</f>
        <v>#N/A</v>
      </c>
      <c r="G47" s="672" t="e">
        <f>VLOOKUP($B46,'длина 2 '!$C$16:$O$54,12,FALSE)</f>
        <v>#N/A</v>
      </c>
      <c r="H47" s="523"/>
      <c r="I47" s="672"/>
      <c r="J47" s="673"/>
      <c r="K47" s="672">
        <f>VLOOKUP($B46,'1cб_р'!$C$17:$I$67,6,FALSE)</f>
        <v>-1.5</v>
      </c>
      <c r="L47" s="672"/>
      <c r="M47" s="672"/>
      <c r="N47" s="523"/>
      <c r="O47" s="523"/>
      <c r="P47" s="695"/>
      <c r="Q47" s="674"/>
      <c r="R47" s="694" t="e">
        <f>CONCATENATE(AH46,"+",AI46,"+",5)</f>
        <v>#N/A</v>
      </c>
      <c r="S47" s="523">
        <f>B46</f>
        <v>35</v>
      </c>
      <c r="T47" s="287">
        <f>$A46</f>
        <v>7</v>
      </c>
      <c r="U47" s="287">
        <v>2</v>
      </c>
      <c r="V47" s="287" t="s">
        <v>162</v>
      </c>
      <c r="W47" s="449"/>
      <c r="X47" s="307"/>
      <c r="Y47" s="307"/>
      <c r="Z47" s="307"/>
      <c r="AA47" s="307"/>
      <c r="AB47" s="307"/>
      <c r="AC47" s="307"/>
      <c r="AD47" s="450"/>
      <c r="AE47" s="450"/>
      <c r="AF47" s="450"/>
      <c r="AH47" s="231"/>
      <c r="AI47" s="231"/>
      <c r="AJ47" s="404">
        <v>97</v>
      </c>
      <c r="AK47" s="231"/>
    </row>
    <row r="48" spans="1:37" s="280" customFormat="1" x14ac:dyDescent="0.35">
      <c r="A48" s="686"/>
      <c r="B48" s="523"/>
      <c r="C48" s="724" t="e">
        <f>VLOOKUP(B46,Уч!$A$2:$L$34,7,FALSE)</f>
        <v>#N/A</v>
      </c>
      <c r="D48" s="528"/>
      <c r="E48" s="509" t="s">
        <v>29</v>
      </c>
      <c r="F48" s="523" t="e">
        <f>VLOOKUP($B46,'100 м 1'!$C$18:$I$87,7,FALSE)</f>
        <v>#N/A</v>
      </c>
      <c r="G48" s="523" t="e">
        <f>VLOOKUP($B46,'длина 2 '!$C$16:$O$54,13,FALSE)</f>
        <v>#N/A</v>
      </c>
      <c r="H48" s="523" t="e">
        <f>VLOOKUP($B46,'ядро 2'!$C$16:$K$60,9,FALSE)</f>
        <v>#N/A</v>
      </c>
      <c r="I48" s="523" t="e">
        <f>VLOOKUP($B46,'высота 2'!$C$16:$AF$57,30,)</f>
        <v>#N/A</v>
      </c>
      <c r="J48" s="526">
        <f>VLOOKUP($B46,'4_р'!$C$17:$H$73,6,FALSE)</f>
        <v>735</v>
      </c>
      <c r="K48" s="523">
        <f>VLOOKUP($B46,'1cб_р'!$C$17:$I$67,7,FALSE)</f>
        <v>697</v>
      </c>
      <c r="L48" s="523">
        <f>VLOOKUP($B46,Дс_р!$C$16:$K$70,9,FALSE)</f>
        <v>584</v>
      </c>
      <c r="M48" s="523">
        <f>VLOOKUP($B46,Ш_р!$C$15:$AF$69,30,FALSE)</f>
        <v>590</v>
      </c>
      <c r="N48" s="523">
        <f>VLOOKUP($B46,К_р!$C$15:$K$68,9,FALSE)</f>
        <v>574</v>
      </c>
      <c r="O48" s="523">
        <f>VLOOKUP($B46,'15_р'!$C$17:$H$86,6,FALSE)</f>
        <v>704</v>
      </c>
      <c r="P48" s="695"/>
      <c r="Q48" s="676"/>
      <c r="R48" s="695"/>
      <c r="S48" s="523">
        <f>B46</f>
        <v>35</v>
      </c>
      <c r="T48" s="287">
        <f>$A46</f>
        <v>7</v>
      </c>
      <c r="U48" s="287">
        <v>3</v>
      </c>
      <c r="V48" s="287" t="s">
        <v>162</v>
      </c>
      <c r="W48" s="449"/>
      <c r="X48" s="307"/>
      <c r="Y48" s="307"/>
      <c r="Z48" s="307"/>
      <c r="AA48" s="307"/>
      <c r="AB48" s="307"/>
      <c r="AC48" s="307"/>
      <c r="AD48" s="450"/>
      <c r="AE48" s="450"/>
      <c r="AF48" s="450"/>
      <c r="AH48" s="231"/>
      <c r="AI48" s="231"/>
      <c r="AJ48" s="404">
        <v>97</v>
      </c>
      <c r="AK48" s="231"/>
    </row>
    <row r="49" spans="1:37" s="280" customFormat="1" x14ac:dyDescent="0.35">
      <c r="A49" s="686"/>
      <c r="B49" s="523"/>
      <c r="C49" s="723" t="e">
        <f>VLOOKUP(B46,Уч!$A$2:$L$34,11,FALSE)</f>
        <v>#N/A</v>
      </c>
      <c r="D49" s="528"/>
      <c r="E49" s="509" t="s">
        <v>276</v>
      </c>
      <c r="F49" s="523" t="e">
        <f>F48</f>
        <v>#N/A</v>
      </c>
      <c r="G49" s="523" t="e">
        <f>F49+G48</f>
        <v>#N/A</v>
      </c>
      <c r="H49" s="523" t="e">
        <f>G49+H48</f>
        <v>#N/A</v>
      </c>
      <c r="I49" s="523" t="e">
        <f>H49+I48</f>
        <v>#N/A</v>
      </c>
      <c r="J49" s="526" t="e">
        <f>SUM($F48:J48)</f>
        <v>#N/A</v>
      </c>
      <c r="K49" s="523" t="e">
        <f>SUM($F48:$K48)</f>
        <v>#N/A</v>
      </c>
      <c r="L49" s="523" t="e">
        <f>K49+L48</f>
        <v>#N/A</v>
      </c>
      <c r="M49" s="523" t="e">
        <f>L49+M48</f>
        <v>#N/A</v>
      </c>
      <c r="N49" s="523" t="e">
        <f>SUM($F48:$N48)</f>
        <v>#N/A</v>
      </c>
      <c r="O49" s="523" t="e">
        <f>SUM($F48:$O48)</f>
        <v>#N/A</v>
      </c>
      <c r="P49" s="695"/>
      <c r="Q49" s="674"/>
      <c r="R49" s="695"/>
      <c r="S49" s="523">
        <f>B46</f>
        <v>35</v>
      </c>
      <c r="T49" s="287">
        <f>$A46</f>
        <v>7</v>
      </c>
      <c r="U49" s="287">
        <v>4</v>
      </c>
      <c r="V49" s="287" t="s">
        <v>162</v>
      </c>
      <c r="W49" s="372" t="e">
        <f t="shared" ref="W49:AF49" si="6">F49</f>
        <v>#N/A</v>
      </c>
      <c r="X49" s="372" t="e">
        <f t="shared" si="6"/>
        <v>#N/A</v>
      </c>
      <c r="Y49" s="372" t="e">
        <f t="shared" si="6"/>
        <v>#N/A</v>
      </c>
      <c r="Z49" s="372" t="e">
        <f t="shared" si="6"/>
        <v>#N/A</v>
      </c>
      <c r="AA49" s="372" t="e">
        <f t="shared" si="6"/>
        <v>#N/A</v>
      </c>
      <c r="AB49" s="372" t="e">
        <f t="shared" si="6"/>
        <v>#N/A</v>
      </c>
      <c r="AC49" s="372" t="e">
        <f t="shared" si="6"/>
        <v>#N/A</v>
      </c>
      <c r="AD49" s="372" t="e">
        <f t="shared" si="6"/>
        <v>#N/A</v>
      </c>
      <c r="AE49" s="372" t="e">
        <f t="shared" si="6"/>
        <v>#N/A</v>
      </c>
      <c r="AF49" s="372" t="e">
        <f t="shared" si="6"/>
        <v>#N/A</v>
      </c>
      <c r="AH49" s="231"/>
      <c r="AI49" s="231"/>
      <c r="AJ49" s="404">
        <v>97</v>
      </c>
      <c r="AK49" s="231"/>
    </row>
    <row r="50" spans="1:37" s="280" customFormat="1" x14ac:dyDescent="0.25">
      <c r="A50" s="625"/>
      <c r="B50" s="698"/>
      <c r="C50" s="691"/>
      <c r="D50" s="699"/>
      <c r="E50" s="692" t="s">
        <v>59</v>
      </c>
      <c r="F50" s="698" t="e">
        <f>RANK(F49,$W$19:$W$135,0)</f>
        <v>#N/A</v>
      </c>
      <c r="G50" s="698" t="e">
        <f>RANK(G49,$X$19:$X$135,0)</f>
        <v>#N/A</v>
      </c>
      <c r="H50" s="698" t="e">
        <f>RANK(H49,$Y$19:$Y$135,0)</f>
        <v>#N/A</v>
      </c>
      <c r="I50" s="698" t="e">
        <f>RANK(I49,$Z$19:$Z$135,0)</f>
        <v>#N/A</v>
      </c>
      <c r="J50" s="700" t="e">
        <f>RANK(J49,$AA$19:$AA$110,0)</f>
        <v>#N/A</v>
      </c>
      <c r="K50" s="698" t="e">
        <f>RANK(K49,$AB$19:$AB$109,0)</f>
        <v>#N/A</v>
      </c>
      <c r="L50" s="698" t="e">
        <f>RANK(L49,$AC$19:$AC$115,0)</f>
        <v>#N/A</v>
      </c>
      <c r="M50" s="698" t="e">
        <f>RANK(M49,$AD$19:$AD$135,0)</f>
        <v>#N/A</v>
      </c>
      <c r="N50" s="698" t="e">
        <f>RANK(N49,$AE$19:$AE$135,0)</f>
        <v>#N/A</v>
      </c>
      <c r="O50" s="698" t="e">
        <f>RANK(O49,$AF$19:$AF$109,0)</f>
        <v>#N/A</v>
      </c>
      <c r="P50" s="648"/>
      <c r="Q50" s="701"/>
      <c r="R50" s="696"/>
      <c r="S50" s="675">
        <f>B46</f>
        <v>35</v>
      </c>
      <c r="T50" s="287">
        <f>$A46</f>
        <v>7</v>
      </c>
      <c r="U50" s="287">
        <v>5</v>
      </c>
      <c r="V50" s="287" t="s">
        <v>162</v>
      </c>
      <c r="W50" s="449"/>
      <c r="X50" s="307"/>
      <c r="Y50" s="307"/>
      <c r="Z50" s="307"/>
      <c r="AA50" s="307"/>
      <c r="AB50" s="307"/>
      <c r="AC50" s="307"/>
      <c r="AD50" s="450"/>
      <c r="AE50" s="450"/>
      <c r="AF50" s="450"/>
      <c r="AH50" s="231"/>
      <c r="AI50" s="231"/>
      <c r="AJ50" s="404">
        <v>97</v>
      </c>
      <c r="AK50" s="231"/>
    </row>
    <row r="51" spans="1:37" s="280" customFormat="1" x14ac:dyDescent="0.35">
      <c r="A51" s="686">
        <v>8</v>
      </c>
      <c r="B51" s="523">
        <v>41</v>
      </c>
      <c r="C51" s="690" t="str">
        <f>VLOOKUP(B51,Уч!$A$2:$L$34,2,FALSE)</f>
        <v>Фомичев Андрей</v>
      </c>
      <c r="D51" s="528" t="str">
        <f>VLOOKUP(B51,Уч!$A$2:$L$34,3,FALSE)</f>
        <v>15.12.1996</v>
      </c>
      <c r="E51" s="509" t="s">
        <v>19</v>
      </c>
      <c r="F51" s="670">
        <f>VLOOKUP($B51,'100 м 1'!$C$18:$I$87,5,FALSE)</f>
        <v>11.3</v>
      </c>
      <c r="G51" s="670" t="e">
        <f>VLOOKUP($B51,'длина 2 '!$C$16:$O$54,11,FALSE)</f>
        <v>#N/A</v>
      </c>
      <c r="H51" s="670" t="e">
        <f>VLOOKUP($B51,'ядро 2'!$C$16:$K$60,8,FALSE)</f>
        <v>#N/A</v>
      </c>
      <c r="I51" s="670">
        <f>VLOOKUP($B51,'высота 2'!$C$16:$AF$57,29,FALSE)</f>
        <v>2</v>
      </c>
      <c r="J51" s="671">
        <f>VLOOKUP($B51,'4_р'!$C$17:$H$73,5,FALSE)</f>
        <v>52.48</v>
      </c>
      <c r="K51" s="670">
        <f>VLOOKUP($B51,'1cб_р'!$C$17:$I$67,5,FALSE)</f>
        <v>16.12</v>
      </c>
      <c r="L51" s="670">
        <f>VLOOKUP($B51,Дс_р!$C$16:$K$70,8,FALSE)</f>
        <v>33.42</v>
      </c>
      <c r="M51" s="670">
        <f>VLOOKUP($B51,Ш_р!$C$15:$AF$69,29,FALSE)</f>
        <v>4.3</v>
      </c>
      <c r="N51" s="670">
        <f>VLOOKUP($B51,К_р!$C$15:$K$68,8,FALSE)</f>
        <v>46.12</v>
      </c>
      <c r="O51" s="523" t="str">
        <f>VLOOKUP($B51,'15_р'!$C$17:$H$86,5,FALSE)</f>
        <v>4:52.72</v>
      </c>
      <c r="P51" s="695" t="e">
        <f>SUM(F53:O53)</f>
        <v>#N/A</v>
      </c>
      <c r="Q51" s="522" t="e">
        <f>LOOKUP(P51,Y$1:AH$1,Y$2:AH$2)</f>
        <v>#N/A</v>
      </c>
      <c r="R51" s="721" t="e">
        <f>AH51+AI51+5</f>
        <v>#N/A</v>
      </c>
      <c r="S51" s="523">
        <f>B51</f>
        <v>41</v>
      </c>
      <c r="T51" s="287">
        <f>$A51</f>
        <v>8</v>
      </c>
      <c r="U51" s="287">
        <v>1</v>
      </c>
      <c r="V51" s="287" t="s">
        <v>162</v>
      </c>
      <c r="W51" s="449"/>
      <c r="X51" s="307"/>
      <c r="Y51" s="307"/>
      <c r="Z51" s="307"/>
      <c r="AA51" s="307"/>
      <c r="AB51" s="307"/>
      <c r="AC51" s="307"/>
      <c r="AD51" s="450"/>
      <c r="AE51" s="450"/>
      <c r="AF51" s="450"/>
      <c r="AH51" s="280" t="e">
        <f>IF(AND(T51&gt;16,P51&gt;=6200),"1",LOOKUP(T51,Y$5:AO$5,Y$6:AO$6))</f>
        <v>#N/A</v>
      </c>
      <c r="AI51" s="280" t="e">
        <f>LOOKUP(Q51,Y$8:AD$8,Y$9:AD$9)</f>
        <v>#N/A</v>
      </c>
      <c r="AJ51" s="404">
        <v>506</v>
      </c>
      <c r="AK51" s="231"/>
    </row>
    <row r="52" spans="1:37" s="280" customFormat="1" x14ac:dyDescent="0.35">
      <c r="A52" s="686"/>
      <c r="B52" s="523"/>
      <c r="C52" s="723" t="str">
        <f>VLOOKUP(B51,Уч!$A$2:$L$34,5,FALSE)</f>
        <v xml:space="preserve">Кемеровская область  </v>
      </c>
      <c r="D52" s="528" t="str">
        <f>VLOOKUP(B51,Уч!$A$2:$L$34,4,FALSE)</f>
        <v>МС</v>
      </c>
      <c r="E52" s="509" t="s">
        <v>25</v>
      </c>
      <c r="F52" s="672">
        <f>VLOOKUP($B51,'100 м 1'!$C$18:$I$87,6,FALSE)</f>
        <v>0.1</v>
      </c>
      <c r="G52" s="672" t="e">
        <f>VLOOKUP($B51,'длина 2 '!$C$16:$O$54,12,FALSE)</f>
        <v>#N/A</v>
      </c>
      <c r="H52" s="523"/>
      <c r="I52" s="672"/>
      <c r="J52" s="673"/>
      <c r="K52" s="672">
        <f>VLOOKUP($B51,'1cб_р'!$C$17:$I$67,6,FALSE)</f>
        <v>-1.5</v>
      </c>
      <c r="L52" s="672"/>
      <c r="M52" s="672"/>
      <c r="N52" s="523"/>
      <c r="O52" s="523"/>
      <c r="P52" s="695"/>
      <c r="Q52" s="674"/>
      <c r="R52" s="721" t="e">
        <f>CONCATENATE(AH51,"+",AI51,"+",5)</f>
        <v>#N/A</v>
      </c>
      <c r="S52" s="523">
        <f>B51</f>
        <v>41</v>
      </c>
      <c r="T52" s="287">
        <f>$A51</f>
        <v>8</v>
      </c>
      <c r="U52" s="287">
        <v>2</v>
      </c>
      <c r="V52" s="287" t="s">
        <v>162</v>
      </c>
      <c r="W52" s="449"/>
      <c r="X52" s="307"/>
      <c r="Y52" s="307"/>
      <c r="Z52" s="307"/>
      <c r="AA52" s="307"/>
      <c r="AB52" s="307"/>
      <c r="AC52" s="307"/>
      <c r="AD52" s="450"/>
      <c r="AE52" s="450"/>
      <c r="AF52" s="450"/>
      <c r="AH52" s="231"/>
      <c r="AI52" s="231"/>
      <c r="AJ52" s="404">
        <v>506</v>
      </c>
      <c r="AK52" s="231"/>
    </row>
    <row r="53" spans="1:37" s="280" customFormat="1" x14ac:dyDescent="0.35">
      <c r="A53" s="686"/>
      <c r="B53" s="523"/>
      <c r="C53" s="724" t="str">
        <f>VLOOKUP(B51,Уч!$A$2:$L$34,7,FALSE)</f>
        <v>ГБФСУ КО "СШОР по легкой атлетике им. В.А.Савенкова", ГАУ КО "ЦП ССК"</v>
      </c>
      <c r="D53" s="528"/>
      <c r="E53" s="509" t="s">
        <v>29</v>
      </c>
      <c r="F53" s="523">
        <f>VLOOKUP($B51,'100 м 1'!$C$18:$I$87,7,FALSE)</f>
        <v>795</v>
      </c>
      <c r="G53" s="523" t="e">
        <f>VLOOKUP($B51,'длина 2 '!$C$16:$O$54,13,FALSE)</f>
        <v>#N/A</v>
      </c>
      <c r="H53" s="523" t="e">
        <f>VLOOKUP($B51,'ядро 2'!$C$16:$K$60,9,FALSE)</f>
        <v>#N/A</v>
      </c>
      <c r="I53" s="523">
        <f>VLOOKUP($B51,'высота 2'!$C$16:$AF$57,30,)</f>
        <v>0</v>
      </c>
      <c r="J53" s="526">
        <f>VLOOKUP($B51,'4_р'!$C$17:$H$73,6,FALSE)</f>
        <v>704</v>
      </c>
      <c r="K53" s="523">
        <f>VLOOKUP($B51,'1cб_р'!$C$17:$I$67,7,FALSE)</f>
        <v>719</v>
      </c>
      <c r="L53" s="523">
        <f>VLOOKUP($B51,Дс_р!$C$16:$K$70,9,FALSE)</f>
        <v>532</v>
      </c>
      <c r="M53" s="523">
        <f>VLOOKUP($B51,Ш_р!$C$15:$AF$69,30,FALSE)</f>
        <v>702</v>
      </c>
      <c r="N53" s="523">
        <f>VLOOKUP($B51,К_р!$C$15:$K$68,9,FALSE)</f>
        <v>531</v>
      </c>
      <c r="O53" s="523">
        <f>VLOOKUP($B51,'15_р'!$C$17:$H$86,6,FALSE)</f>
        <v>602</v>
      </c>
      <c r="P53" s="695"/>
      <c r="Q53" s="650"/>
      <c r="R53" s="695"/>
      <c r="S53" s="523">
        <f>B51</f>
        <v>41</v>
      </c>
      <c r="T53" s="287">
        <f>$A51</f>
        <v>8</v>
      </c>
      <c r="U53" s="287">
        <v>3</v>
      </c>
      <c r="V53" s="287" t="s">
        <v>162</v>
      </c>
      <c r="W53" s="449"/>
      <c r="X53" s="307"/>
      <c r="Y53" s="307"/>
      <c r="Z53" s="307"/>
      <c r="AA53" s="307"/>
      <c r="AB53" s="307"/>
      <c r="AC53" s="307"/>
      <c r="AD53" s="450"/>
      <c r="AE53" s="450"/>
      <c r="AF53" s="450"/>
      <c r="AH53" s="231"/>
      <c r="AI53" s="231"/>
      <c r="AJ53" s="404">
        <v>506</v>
      </c>
      <c r="AK53" s="231"/>
    </row>
    <row r="54" spans="1:37" s="280" customFormat="1" x14ac:dyDescent="0.35">
      <c r="A54" s="686"/>
      <c r="B54" s="523"/>
      <c r="C54" s="723" t="str">
        <f>VLOOKUP(B51,Уч!$A$2:$L$34,11,FALSE)</f>
        <v>Хайлов С.Н., Фомичев В.Н.</v>
      </c>
      <c r="D54" s="528"/>
      <c r="E54" s="509" t="s">
        <v>276</v>
      </c>
      <c r="F54" s="523">
        <f>F53</f>
        <v>795</v>
      </c>
      <c r="G54" s="523" t="e">
        <f>F54+G53</f>
        <v>#N/A</v>
      </c>
      <c r="H54" s="523" t="e">
        <f>G54+H53</f>
        <v>#N/A</v>
      </c>
      <c r="I54" s="523" t="e">
        <f>H54+I53</f>
        <v>#N/A</v>
      </c>
      <c r="J54" s="526" t="e">
        <f>SUM($F53:J53)</f>
        <v>#N/A</v>
      </c>
      <c r="K54" s="523" t="e">
        <f>SUM($F53:$K53)</f>
        <v>#N/A</v>
      </c>
      <c r="L54" s="523" t="e">
        <f>K54+L53</f>
        <v>#N/A</v>
      </c>
      <c r="M54" s="523" t="e">
        <f>L54+M53</f>
        <v>#N/A</v>
      </c>
      <c r="N54" s="523" t="e">
        <f>SUM($F53:$N53)</f>
        <v>#N/A</v>
      </c>
      <c r="O54" s="523" t="e">
        <f>SUM($F53:$O53)</f>
        <v>#N/A</v>
      </c>
      <c r="P54" s="695"/>
      <c r="Q54" s="650"/>
      <c r="R54" s="695"/>
      <c r="S54" s="523">
        <f>B51</f>
        <v>41</v>
      </c>
      <c r="T54" s="287">
        <f>$A51</f>
        <v>8</v>
      </c>
      <c r="U54" s="287">
        <v>4</v>
      </c>
      <c r="V54" s="287" t="s">
        <v>162</v>
      </c>
      <c r="W54" s="372">
        <f t="shared" ref="W54:AF54" si="7">F54</f>
        <v>795</v>
      </c>
      <c r="X54" s="372" t="e">
        <f t="shared" si="7"/>
        <v>#N/A</v>
      </c>
      <c r="Y54" s="372" t="e">
        <f t="shared" si="7"/>
        <v>#N/A</v>
      </c>
      <c r="Z54" s="372" t="e">
        <f t="shared" si="7"/>
        <v>#N/A</v>
      </c>
      <c r="AA54" s="372" t="e">
        <f t="shared" si="7"/>
        <v>#N/A</v>
      </c>
      <c r="AB54" s="372" t="e">
        <f t="shared" si="7"/>
        <v>#N/A</v>
      </c>
      <c r="AC54" s="372" t="e">
        <f t="shared" si="7"/>
        <v>#N/A</v>
      </c>
      <c r="AD54" s="372" t="e">
        <f t="shared" si="7"/>
        <v>#N/A</v>
      </c>
      <c r="AE54" s="372" t="e">
        <f t="shared" si="7"/>
        <v>#N/A</v>
      </c>
      <c r="AF54" s="372" t="e">
        <f t="shared" si="7"/>
        <v>#N/A</v>
      </c>
      <c r="AH54" s="231"/>
      <c r="AI54" s="231"/>
      <c r="AJ54" s="404">
        <v>506</v>
      </c>
      <c r="AK54" s="231"/>
    </row>
    <row r="55" spans="1:37" s="280" customFormat="1" x14ac:dyDescent="0.25">
      <c r="A55" s="625"/>
      <c r="B55" s="698"/>
      <c r="C55" s="691"/>
      <c r="D55" s="699"/>
      <c r="E55" s="692" t="s">
        <v>59</v>
      </c>
      <c r="F55" s="698" t="e">
        <f>RANK(F54,$W$19:$W$135,0)</f>
        <v>#N/A</v>
      </c>
      <c r="G55" s="698" t="e">
        <f>RANK(G54,$X$19:$X$135,0)</f>
        <v>#N/A</v>
      </c>
      <c r="H55" s="698" t="e">
        <f>RANK(H54,$Y$19:$Y$135,0)</f>
        <v>#N/A</v>
      </c>
      <c r="I55" s="698" t="e">
        <f>RANK(I54,$Z$19:$Z$135,0)</f>
        <v>#N/A</v>
      </c>
      <c r="J55" s="700" t="e">
        <f>RANK(J54,$AA$19:$AA$110,0)</f>
        <v>#N/A</v>
      </c>
      <c r="K55" s="698" t="e">
        <f>RANK(K54,$AB$19:$AB$109,0)</f>
        <v>#N/A</v>
      </c>
      <c r="L55" s="698" t="e">
        <f>RANK(L54,$AC$19:$AC$115,0)</f>
        <v>#N/A</v>
      </c>
      <c r="M55" s="698" t="e">
        <f>RANK(M54,$AD$19:$AD$135,0)</f>
        <v>#N/A</v>
      </c>
      <c r="N55" s="698" t="e">
        <f>RANK(N54,$AE$19:$AE$135,0)</f>
        <v>#N/A</v>
      </c>
      <c r="O55" s="698" t="e">
        <f>RANK(O54,$AF$19:$AF$109,0)</f>
        <v>#N/A</v>
      </c>
      <c r="P55" s="648"/>
      <c r="Q55" s="701"/>
      <c r="R55" s="696"/>
      <c r="S55" s="675">
        <f>B51</f>
        <v>41</v>
      </c>
      <c r="T55" s="287">
        <f>$A51</f>
        <v>8</v>
      </c>
      <c r="U55" s="287">
        <v>5</v>
      </c>
      <c r="V55" s="287" t="s">
        <v>162</v>
      </c>
      <c r="W55" s="449"/>
      <c r="X55" s="307"/>
      <c r="Y55" s="307"/>
      <c r="Z55" s="307"/>
      <c r="AA55" s="307"/>
      <c r="AB55" s="307"/>
      <c r="AC55" s="307"/>
      <c r="AD55" s="450"/>
      <c r="AE55" s="450"/>
      <c r="AF55" s="450"/>
      <c r="AJ55" s="404">
        <v>506</v>
      </c>
      <c r="AK55" s="231"/>
    </row>
    <row r="56" spans="1:37" s="280" customFormat="1" x14ac:dyDescent="0.35">
      <c r="A56" s="686">
        <v>9</v>
      </c>
      <c r="B56" s="523">
        <v>26</v>
      </c>
      <c r="C56" s="690" t="e">
        <f>VLOOKUP(B56,Уч!$A$2:$L$34,2,FALSE)</f>
        <v>#N/A</v>
      </c>
      <c r="D56" s="528" t="e">
        <f>VLOOKUP(B56,Уч!$A$2:$L$34,3,FALSE)</f>
        <v>#N/A</v>
      </c>
      <c r="E56" s="509" t="s">
        <v>19</v>
      </c>
      <c r="F56" s="670" t="e">
        <f>VLOOKUP($B56,'100 м 1'!$C$18:$I$87,5,FALSE)</f>
        <v>#N/A</v>
      </c>
      <c r="G56" s="670" t="e">
        <f>VLOOKUP($B56,'длина 2 '!$C$16:$O$54,11,FALSE)</f>
        <v>#N/A</v>
      </c>
      <c r="H56" s="670" t="e">
        <f>VLOOKUP($B56,'ядро 2'!$C$16:$K$60,8,FALSE)</f>
        <v>#N/A</v>
      </c>
      <c r="I56" s="670" t="e">
        <f>VLOOKUP($B56,'высота 2'!$C$16:$AF$57,29,FALSE)</f>
        <v>#N/A</v>
      </c>
      <c r="J56" s="671">
        <f>VLOOKUP($B56,'4_р'!$C$17:$H$73,5,FALSE)</f>
        <v>54.6</v>
      </c>
      <c r="K56" s="670">
        <f>VLOOKUP($B56,'1cб_р'!$C$17:$I$67,5,FALSE)</f>
        <v>16.239999999999998</v>
      </c>
      <c r="L56" s="670">
        <f>VLOOKUP($B56,Дс_р!$C$16:$K$70,8,FALSE)</f>
        <v>41.15</v>
      </c>
      <c r="M56" s="670">
        <f>VLOOKUP($B56,Ш_р!$C$15:$AF$69,29,FALSE)</f>
        <v>4.3</v>
      </c>
      <c r="N56" s="670">
        <f>VLOOKUP($B56,К_р!$C$15:$K$68,8,FALSE)</f>
        <v>51.82</v>
      </c>
      <c r="O56" s="523" t="str">
        <f>VLOOKUP($B56,'15_р'!$C$17:$H$86,5,FALSE)</f>
        <v>4:52.09</v>
      </c>
      <c r="P56" s="695" t="e">
        <f>SUM(F58:O58)</f>
        <v>#N/A</v>
      </c>
      <c r="Q56" s="522" t="e">
        <f>LOOKUP(P56,Y$1:AH$1,Y$2:AH$2)</f>
        <v>#N/A</v>
      </c>
      <c r="R56" s="694" t="e">
        <f>AH56+AI56+5</f>
        <v>#N/A</v>
      </c>
      <c r="S56" s="523">
        <f>B56</f>
        <v>26</v>
      </c>
      <c r="T56" s="287">
        <f>$A56</f>
        <v>9</v>
      </c>
      <c r="U56" s="287">
        <v>1</v>
      </c>
      <c r="V56" s="287">
        <f>$A56</f>
        <v>9</v>
      </c>
      <c r="W56" s="449"/>
      <c r="X56" s="307"/>
      <c r="Y56" s="307"/>
      <c r="Z56" s="307"/>
      <c r="AA56" s="307"/>
      <c r="AB56" s="307"/>
      <c r="AC56" s="307"/>
      <c r="AD56" s="450"/>
      <c r="AE56" s="450"/>
      <c r="AF56" s="450"/>
      <c r="AH56" s="280">
        <v>12</v>
      </c>
      <c r="AI56" s="280" t="e">
        <f>LOOKUP(Q56,Y$8:AD$8,Y$9:AD$9)</f>
        <v>#N/A</v>
      </c>
      <c r="AJ56" s="404">
        <v>452</v>
      </c>
      <c r="AK56" s="231"/>
    </row>
    <row r="57" spans="1:37" s="280" customFormat="1" x14ac:dyDescent="0.35">
      <c r="A57" s="686"/>
      <c r="B57" s="523"/>
      <c r="C57" s="723" t="e">
        <f>VLOOKUP(B56,Уч!$A$2:$L$34,5,FALSE)</f>
        <v>#N/A</v>
      </c>
      <c r="D57" s="528" t="e">
        <f>VLOOKUP(B56,Уч!$A$2:$L$34,4,FALSE)</f>
        <v>#N/A</v>
      </c>
      <c r="E57" s="509" t="s">
        <v>25</v>
      </c>
      <c r="F57" s="672" t="e">
        <f>VLOOKUP($B56,'100 м 1'!$C$18:$I$87,6,FALSE)</f>
        <v>#N/A</v>
      </c>
      <c r="G57" s="672" t="e">
        <f>VLOOKUP($B56,'длина 2 '!$C$16:$O$54,12,FALSE)</f>
        <v>#N/A</v>
      </c>
      <c r="H57" s="523"/>
      <c r="I57" s="672"/>
      <c r="J57" s="673"/>
      <c r="K57" s="672">
        <f>VLOOKUP($B56,'1cб_р'!$C$17:$I$67,6,FALSE)</f>
        <v>-1</v>
      </c>
      <c r="L57" s="672"/>
      <c r="M57" s="672"/>
      <c r="N57" s="523"/>
      <c r="O57" s="523"/>
      <c r="P57" s="695"/>
      <c r="Q57" s="674"/>
      <c r="R57" s="694" t="e">
        <f>CONCATENATE(AH56,"+",AI56,"+",5)</f>
        <v>#N/A</v>
      </c>
      <c r="S57" s="523">
        <f>B56</f>
        <v>26</v>
      </c>
      <c r="T57" s="287">
        <f>$A56</f>
        <v>9</v>
      </c>
      <c r="U57" s="287">
        <v>2</v>
      </c>
      <c r="V57" s="287">
        <f>$A56</f>
        <v>9</v>
      </c>
      <c r="W57" s="449"/>
      <c r="X57" s="307"/>
      <c r="Y57" s="307"/>
      <c r="Z57" s="307"/>
      <c r="AA57" s="307"/>
      <c r="AB57" s="307"/>
      <c r="AC57" s="307"/>
      <c r="AD57" s="450"/>
      <c r="AE57" s="450"/>
      <c r="AF57" s="450"/>
      <c r="AH57" s="231"/>
      <c r="AI57" s="231"/>
      <c r="AJ57" s="404">
        <v>452</v>
      </c>
      <c r="AK57" s="231"/>
    </row>
    <row r="58" spans="1:37" s="280" customFormat="1" x14ac:dyDescent="0.35">
      <c r="A58" s="686"/>
      <c r="B58" s="523"/>
      <c r="C58" s="724" t="e">
        <f>VLOOKUP(B56,Уч!$A$2:$L$34,7,FALSE)</f>
        <v>#N/A</v>
      </c>
      <c r="D58" s="528"/>
      <c r="E58" s="509" t="s">
        <v>29</v>
      </c>
      <c r="F58" s="523" t="e">
        <f>VLOOKUP($B56,'100 м 1'!$C$18:$I$87,7,FALSE)</f>
        <v>#N/A</v>
      </c>
      <c r="G58" s="523" t="e">
        <f>VLOOKUP($B56,'длина 2 '!$C$16:$O$54,13,FALSE)</f>
        <v>#N/A</v>
      </c>
      <c r="H58" s="523" t="e">
        <f>VLOOKUP($B56,'ядро 2'!$C$16:$K$60,9,FALSE)</f>
        <v>#N/A</v>
      </c>
      <c r="I58" s="523" t="e">
        <f>VLOOKUP($B56,'высота 2'!$C$16:$AF$57,30,)</f>
        <v>#N/A</v>
      </c>
      <c r="J58" s="526">
        <f>VLOOKUP($B56,'4_р'!$C$17:$H$73,6,FALSE)</f>
        <v>615</v>
      </c>
      <c r="K58" s="523">
        <f>VLOOKUP($B56,'1cб_р'!$C$17:$I$67,7,FALSE)</f>
        <v>706</v>
      </c>
      <c r="L58" s="523">
        <f>VLOOKUP($B56,Дс_р!$C$16:$K$70,9,FALSE)</f>
        <v>688</v>
      </c>
      <c r="M58" s="523">
        <f>VLOOKUP($B56,Ш_р!$C$15:$AF$69,30,FALSE)</f>
        <v>702</v>
      </c>
      <c r="N58" s="523">
        <f>VLOOKUP($B56,К_р!$C$15:$K$68,9,FALSE)</f>
        <v>616</v>
      </c>
      <c r="O58" s="523">
        <f>VLOOKUP($B56,'15_р'!$C$17:$H$86,6,FALSE)</f>
        <v>606</v>
      </c>
      <c r="P58" s="695"/>
      <c r="Q58" s="676"/>
      <c r="R58" s="695"/>
      <c r="S58" s="523">
        <f>B56</f>
        <v>26</v>
      </c>
      <c r="T58" s="287">
        <f>$A56</f>
        <v>9</v>
      </c>
      <c r="U58" s="287">
        <v>3</v>
      </c>
      <c r="V58" s="287">
        <f>$A56</f>
        <v>9</v>
      </c>
      <c r="W58" s="449"/>
      <c r="X58" s="307"/>
      <c r="Y58" s="307"/>
      <c r="Z58" s="307"/>
      <c r="AA58" s="307"/>
      <c r="AB58" s="307"/>
      <c r="AC58" s="307"/>
      <c r="AD58" s="450"/>
      <c r="AE58" s="450"/>
      <c r="AF58" s="450"/>
      <c r="AH58" s="231"/>
      <c r="AI58" s="231"/>
      <c r="AJ58" s="404">
        <v>452</v>
      </c>
      <c r="AK58" s="231"/>
    </row>
    <row r="59" spans="1:37" s="280" customFormat="1" x14ac:dyDescent="0.35">
      <c r="A59" s="686"/>
      <c r="B59" s="523"/>
      <c r="C59" s="723" t="e">
        <f>VLOOKUP(B56,Уч!$A$2:$L$34,11,FALSE)</f>
        <v>#N/A</v>
      </c>
      <c r="D59" s="528"/>
      <c r="E59" s="509" t="s">
        <v>276</v>
      </c>
      <c r="F59" s="523" t="e">
        <f>F58</f>
        <v>#N/A</v>
      </c>
      <c r="G59" s="523" t="e">
        <f>F59+G58</f>
        <v>#N/A</v>
      </c>
      <c r="H59" s="523" t="e">
        <f>G59+H58</f>
        <v>#N/A</v>
      </c>
      <c r="I59" s="523" t="e">
        <f>H59+I58</f>
        <v>#N/A</v>
      </c>
      <c r="J59" s="526" t="e">
        <f>SUM($F58:J58)</f>
        <v>#N/A</v>
      </c>
      <c r="K59" s="523" t="e">
        <f>SUM($F58:$K58)</f>
        <v>#N/A</v>
      </c>
      <c r="L59" s="523" t="e">
        <f>K59+L58</f>
        <v>#N/A</v>
      </c>
      <c r="M59" s="523" t="e">
        <f>L59+M58</f>
        <v>#N/A</v>
      </c>
      <c r="N59" s="523" t="e">
        <f>SUM($F58:$N58)</f>
        <v>#N/A</v>
      </c>
      <c r="O59" s="523" t="e">
        <f>SUM($F58:$O58)</f>
        <v>#N/A</v>
      </c>
      <c r="P59" s="695"/>
      <c r="Q59" s="674"/>
      <c r="R59" s="695"/>
      <c r="S59" s="523">
        <f>B56</f>
        <v>26</v>
      </c>
      <c r="T59" s="287">
        <f>$A56</f>
        <v>9</v>
      </c>
      <c r="U59" s="287">
        <v>4</v>
      </c>
      <c r="V59" s="287">
        <f>$A56</f>
        <v>9</v>
      </c>
      <c r="W59" s="372" t="e">
        <f t="shared" ref="W59:AF59" si="8">F59</f>
        <v>#N/A</v>
      </c>
      <c r="X59" s="372" t="e">
        <f t="shared" si="8"/>
        <v>#N/A</v>
      </c>
      <c r="Y59" s="372" t="e">
        <f t="shared" si="8"/>
        <v>#N/A</v>
      </c>
      <c r="Z59" s="372" t="e">
        <f t="shared" si="8"/>
        <v>#N/A</v>
      </c>
      <c r="AA59" s="372" t="e">
        <f t="shared" si="8"/>
        <v>#N/A</v>
      </c>
      <c r="AB59" s="372" t="e">
        <f t="shared" si="8"/>
        <v>#N/A</v>
      </c>
      <c r="AC59" s="372" t="e">
        <f t="shared" si="8"/>
        <v>#N/A</v>
      </c>
      <c r="AD59" s="372" t="e">
        <f t="shared" si="8"/>
        <v>#N/A</v>
      </c>
      <c r="AE59" s="372" t="e">
        <f t="shared" si="8"/>
        <v>#N/A</v>
      </c>
      <c r="AF59" s="372" t="e">
        <f t="shared" si="8"/>
        <v>#N/A</v>
      </c>
      <c r="AH59" s="231"/>
      <c r="AI59" s="231"/>
      <c r="AJ59" s="404">
        <v>452</v>
      </c>
      <c r="AK59" s="231"/>
    </row>
    <row r="60" spans="1:37" s="280" customFormat="1" x14ac:dyDescent="0.25">
      <c r="A60" s="625"/>
      <c r="B60" s="698"/>
      <c r="C60" s="615"/>
      <c r="D60" s="699"/>
      <c r="E60" s="692" t="s">
        <v>59</v>
      </c>
      <c r="F60" s="698" t="e">
        <f>RANK(F59,$W$19:$W$135,0)</f>
        <v>#N/A</v>
      </c>
      <c r="G60" s="698" t="e">
        <f>RANK(G59,$X$19:$X$135,0)</f>
        <v>#N/A</v>
      </c>
      <c r="H60" s="698" t="e">
        <f>RANK(H59,$Y$19:$Y$135,0)</f>
        <v>#N/A</v>
      </c>
      <c r="I60" s="698" t="e">
        <f>RANK(I59,$Z$19:$Z$135,0)</f>
        <v>#N/A</v>
      </c>
      <c r="J60" s="700" t="e">
        <f>RANK(J59,$AA$19:$AA$110,0)</f>
        <v>#N/A</v>
      </c>
      <c r="K60" s="698" t="e">
        <f>RANK(K59,$AB$19:$AB$109,0)</f>
        <v>#N/A</v>
      </c>
      <c r="L60" s="698" t="e">
        <f>RANK(L59,$AC$19:$AC$115,0)</f>
        <v>#N/A</v>
      </c>
      <c r="M60" s="698" t="e">
        <f>RANK(M59,$AD$19:$AD$135,0)</f>
        <v>#N/A</v>
      </c>
      <c r="N60" s="698" t="e">
        <f>RANK(N59,$AE$19:$AE$135,0)</f>
        <v>#N/A</v>
      </c>
      <c r="O60" s="698" t="e">
        <f>RANK(O59,$AF$19:$AF$109,0)</f>
        <v>#N/A</v>
      </c>
      <c r="P60" s="648"/>
      <c r="Q60" s="701"/>
      <c r="R60" s="696"/>
      <c r="S60" s="675">
        <f>B56</f>
        <v>26</v>
      </c>
      <c r="T60" s="287">
        <f>$A56</f>
        <v>9</v>
      </c>
      <c r="U60" s="287">
        <v>5</v>
      </c>
      <c r="V60" s="287">
        <f>$A56</f>
        <v>9</v>
      </c>
      <c r="W60" s="449"/>
      <c r="X60" s="307"/>
      <c r="Y60" s="307"/>
      <c r="Z60" s="307"/>
      <c r="AA60" s="307"/>
      <c r="AB60" s="307"/>
      <c r="AC60" s="307"/>
      <c r="AD60" s="450"/>
      <c r="AE60" s="450"/>
      <c r="AF60" s="450"/>
      <c r="AH60" s="231"/>
      <c r="AI60" s="231"/>
      <c r="AJ60" s="404">
        <v>452</v>
      </c>
      <c r="AK60" s="231"/>
    </row>
    <row r="61" spans="1:37" s="280" customFormat="1" x14ac:dyDescent="0.35">
      <c r="A61" s="686">
        <v>10</v>
      </c>
      <c r="B61" s="523">
        <v>44</v>
      </c>
      <c r="C61" s="690" t="str">
        <f>VLOOKUP(B61,Уч!$A$2:$L$34,2,FALSE)</f>
        <v>Хамедов Игорь</v>
      </c>
      <c r="D61" s="528" t="str">
        <f>VLOOKUP(B61,Уч!$A$2:$L$34,3,FALSE)</f>
        <v>30.05.1998</v>
      </c>
      <c r="E61" s="509" t="s">
        <v>19</v>
      </c>
      <c r="F61" s="670">
        <f>VLOOKUP($B61,'100 м 1'!$C$18:$I$87,5,FALSE)</f>
        <v>11.78</v>
      </c>
      <c r="G61" s="670">
        <f>VLOOKUP($B61,'длина 2 '!$C$16:$O$54,11,FALSE)</f>
        <v>6.12</v>
      </c>
      <c r="H61" s="670">
        <f>VLOOKUP($B61,'ядро 2'!$C$16:$K$60,8,FALSE)</f>
        <v>13.22</v>
      </c>
      <c r="I61" s="670">
        <f>VLOOKUP($B61,'высота 2'!$C$16:$AF$57,29,FALSE)</f>
        <v>1.91</v>
      </c>
      <c r="J61" s="671">
        <f>VLOOKUP($B61,'4_р'!$C$17:$H$73,5,FALSE)</f>
        <v>50.15</v>
      </c>
      <c r="K61" s="670">
        <f>VLOOKUP($B61,'1cб_р'!$C$17:$I$67,5,FALSE)</f>
        <v>16.11</v>
      </c>
      <c r="L61" s="670">
        <f>VLOOKUP($B61,Дс_р!$C$16:$K$70,8,FALSE)</f>
        <v>33.67</v>
      </c>
      <c r="M61" s="670">
        <f>VLOOKUP($B61,Ш_р!$C$15:$AF$69,29,FALSE)</f>
        <v>3.6</v>
      </c>
      <c r="N61" s="670">
        <f>VLOOKUP($B61,К_р!$C$15:$K$68,8,FALSE)</f>
        <v>47.52</v>
      </c>
      <c r="O61" s="523" t="str">
        <f>VLOOKUP($B61,'15_р'!$C$17:$H$86,5,FALSE)</f>
        <v>4:41.81</v>
      </c>
      <c r="P61" s="695">
        <f>SUM(F63:O63)</f>
        <v>5171</v>
      </c>
      <c r="Q61" s="522">
        <f>LOOKUP(P61,Y$1:AH$1,Y$2:AH$2)</f>
        <v>2</v>
      </c>
      <c r="R61" s="721">
        <f>AH61+AI61+5</f>
        <v>13</v>
      </c>
      <c r="S61" s="523">
        <f>B61</f>
        <v>44</v>
      </c>
      <c r="T61" s="287">
        <f>$A61</f>
        <v>10</v>
      </c>
      <c r="U61" s="287">
        <v>1</v>
      </c>
      <c r="V61" s="287" t="s">
        <v>162</v>
      </c>
      <c r="W61" s="307"/>
      <c r="X61" s="307"/>
      <c r="Y61" s="307"/>
      <c r="Z61" s="307"/>
      <c r="AA61" s="307"/>
      <c r="AB61" s="307"/>
      <c r="AC61" s="307"/>
      <c r="AD61" s="450"/>
      <c r="AE61" s="450"/>
      <c r="AF61" s="450"/>
      <c r="AH61" s="280">
        <f>IF(AND(T61&gt;16,P61&gt;=6200),"1",LOOKUP(T61,Y$5:AO$5,Y$6:AO$6))</f>
        <v>8</v>
      </c>
      <c r="AI61" s="280">
        <f>LOOKUP(Q61,Y$8:AD$8,Y$9:AD$9)</f>
        <v>0</v>
      </c>
      <c r="AJ61" s="404">
        <v>462</v>
      </c>
      <c r="AK61" s="231"/>
    </row>
    <row r="62" spans="1:37" s="280" customFormat="1" x14ac:dyDescent="0.35">
      <c r="A62" s="686"/>
      <c r="B62" s="523"/>
      <c r="C62" s="723" t="str">
        <f>VLOOKUP(B61,Уч!$A$2:$L$34,5,FALSE)</f>
        <v xml:space="preserve">Кемеровская область  </v>
      </c>
      <c r="D62" s="528" t="str">
        <f>VLOOKUP(B61,Уч!$A$2:$L$34,4,FALSE)</f>
        <v>КМС</v>
      </c>
      <c r="E62" s="509" t="s">
        <v>25</v>
      </c>
      <c r="F62" s="672">
        <f>VLOOKUP($B61,'100 м 1'!$C$18:$I$87,6,FALSE)</f>
        <v>0.8</v>
      </c>
      <c r="G62" s="672">
        <f>VLOOKUP($B61,'длина 2 '!$C$16:$O$54,12,FALSE)</f>
        <v>0</v>
      </c>
      <c r="H62" s="523"/>
      <c r="I62" s="672"/>
      <c r="J62" s="673"/>
      <c r="K62" s="672">
        <f>VLOOKUP($B61,'1cб_р'!$C$17:$I$67,6,FALSE)</f>
        <v>0</v>
      </c>
      <c r="L62" s="672"/>
      <c r="M62" s="672"/>
      <c r="N62" s="523"/>
      <c r="O62" s="523"/>
      <c r="P62" s="695"/>
      <c r="Q62" s="674"/>
      <c r="R62" s="721" t="str">
        <f>CONCATENATE(AH61,"+",AI61,"+",5)</f>
        <v>8+0+5</v>
      </c>
      <c r="S62" s="523">
        <f>B61</f>
        <v>44</v>
      </c>
      <c r="T62" s="287">
        <f>$A61</f>
        <v>10</v>
      </c>
      <c r="U62" s="287">
        <v>2</v>
      </c>
      <c r="V62" s="287" t="s">
        <v>162</v>
      </c>
      <c r="W62" s="307"/>
      <c r="X62" s="307"/>
      <c r="Y62" s="307"/>
      <c r="Z62" s="307"/>
      <c r="AA62" s="307"/>
      <c r="AB62" s="307"/>
      <c r="AC62" s="307"/>
      <c r="AD62" s="450"/>
      <c r="AE62" s="450"/>
      <c r="AF62" s="450"/>
      <c r="AH62" s="231"/>
      <c r="AI62" s="231"/>
      <c r="AJ62" s="404">
        <v>462</v>
      </c>
      <c r="AK62" s="231"/>
    </row>
    <row r="63" spans="1:37" s="280" customFormat="1" x14ac:dyDescent="0.35">
      <c r="A63" s="686"/>
      <c r="B63" s="523"/>
      <c r="C63" s="724" t="str">
        <f>VLOOKUP(B61,Уч!$A$2:$L$34,7,FALSE)</f>
        <v>МАФСУ "СШ №7"</v>
      </c>
      <c r="D63" s="525"/>
      <c r="E63" s="509" t="s">
        <v>29</v>
      </c>
      <c r="F63" s="523">
        <f>VLOOKUP($B61,'100 м 1'!$C$18:$I$87,7,FALSE)</f>
        <v>695</v>
      </c>
      <c r="G63" s="523">
        <f>VLOOKUP($B61,'длина 2 '!$C$16:$O$54,13,FALSE)</f>
        <v>0</v>
      </c>
      <c r="H63" s="523">
        <f>VLOOKUP($B61,'ядро 2'!$C$16:$K$60,9,FALSE)</f>
        <v>681</v>
      </c>
      <c r="I63" s="523">
        <f>VLOOKUP($B61,'высота 2'!$C$16:$AF$57,30,)</f>
        <v>0</v>
      </c>
      <c r="J63" s="526">
        <f>VLOOKUP($B61,'4_р'!$C$17:$H$73,6,FALSE)</f>
        <v>808</v>
      </c>
      <c r="K63" s="523">
        <f>VLOOKUP($B61,'1cб_р'!$C$17:$I$67,7,FALSE)</f>
        <v>720</v>
      </c>
      <c r="L63" s="523">
        <f>VLOOKUP($B61,Дс_р!$C$16:$K$70,9,FALSE)</f>
        <v>537</v>
      </c>
      <c r="M63" s="523">
        <f>VLOOKUP($B61,Ш_р!$C$15:$AF$69,30,FALSE)</f>
        <v>509</v>
      </c>
      <c r="N63" s="523">
        <f>VLOOKUP($B61,К_р!$C$15:$K$68,9,FALSE)</f>
        <v>552</v>
      </c>
      <c r="O63" s="523">
        <f>VLOOKUP($B61,'15_р'!$C$17:$H$86,6,FALSE)</f>
        <v>669</v>
      </c>
      <c r="P63" s="695"/>
      <c r="Q63" s="650"/>
      <c r="R63" s="697"/>
      <c r="S63" s="523">
        <f>B61</f>
        <v>44</v>
      </c>
      <c r="T63" s="287">
        <f>$A61</f>
        <v>10</v>
      </c>
      <c r="U63" s="287">
        <v>3</v>
      </c>
      <c r="V63" s="287" t="s">
        <v>162</v>
      </c>
      <c r="W63" s="307"/>
      <c r="X63" s="307"/>
      <c r="Y63" s="307"/>
      <c r="Z63" s="307"/>
      <c r="AA63" s="307"/>
      <c r="AB63" s="307"/>
      <c r="AC63" s="307"/>
      <c r="AD63" s="450"/>
      <c r="AE63" s="450"/>
      <c r="AF63" s="450"/>
      <c r="AH63" s="231"/>
      <c r="AI63" s="231"/>
      <c r="AJ63" s="404">
        <v>462</v>
      </c>
      <c r="AK63" s="231"/>
    </row>
    <row r="64" spans="1:37" s="280" customFormat="1" x14ac:dyDescent="0.35">
      <c r="A64" s="686"/>
      <c r="B64" s="523"/>
      <c r="C64" s="723" t="str">
        <f>VLOOKUP(B61,Уч!$A$2:$L$34,11,FALSE)</f>
        <v>Быков И.С., Чернявская Ю.В., Ляпин И.М.</v>
      </c>
      <c r="D64" s="525"/>
      <c r="E64" s="509" t="s">
        <v>276</v>
      </c>
      <c r="F64" s="523">
        <f>F63</f>
        <v>695</v>
      </c>
      <c r="G64" s="523">
        <f>F64+G63</f>
        <v>695</v>
      </c>
      <c r="H64" s="523">
        <f>G64+H63</f>
        <v>1376</v>
      </c>
      <c r="I64" s="523">
        <f>H64+I63</f>
        <v>1376</v>
      </c>
      <c r="J64" s="526">
        <f>SUM($F63:J63)</f>
        <v>2184</v>
      </c>
      <c r="K64" s="523">
        <f>SUM($F63:$K63)</f>
        <v>2904</v>
      </c>
      <c r="L64" s="523">
        <f>K64+L63</f>
        <v>3441</v>
      </c>
      <c r="M64" s="523">
        <f>L64+M63</f>
        <v>3950</v>
      </c>
      <c r="N64" s="523">
        <f>SUM($F63:$N63)</f>
        <v>4502</v>
      </c>
      <c r="O64" s="523">
        <f>SUM($F63:$O63)</f>
        <v>5171</v>
      </c>
      <c r="P64" s="695"/>
      <c r="Q64" s="650"/>
      <c r="R64" s="697"/>
      <c r="S64" s="523">
        <f>B61</f>
        <v>44</v>
      </c>
      <c r="T64" s="287">
        <f>$A61</f>
        <v>10</v>
      </c>
      <c r="U64" s="287">
        <v>4</v>
      </c>
      <c r="V64" s="287" t="s">
        <v>162</v>
      </c>
      <c r="W64" s="372">
        <f t="shared" ref="W64:AF64" si="9">F64</f>
        <v>695</v>
      </c>
      <c r="X64" s="372">
        <f t="shared" si="9"/>
        <v>695</v>
      </c>
      <c r="Y64" s="372">
        <f t="shared" si="9"/>
        <v>1376</v>
      </c>
      <c r="Z64" s="372">
        <f t="shared" si="9"/>
        <v>1376</v>
      </c>
      <c r="AA64" s="372">
        <f t="shared" si="9"/>
        <v>2184</v>
      </c>
      <c r="AB64" s="372">
        <f t="shared" si="9"/>
        <v>2904</v>
      </c>
      <c r="AC64" s="372">
        <f t="shared" si="9"/>
        <v>3441</v>
      </c>
      <c r="AD64" s="372">
        <f t="shared" si="9"/>
        <v>3950</v>
      </c>
      <c r="AE64" s="372">
        <f t="shared" si="9"/>
        <v>4502</v>
      </c>
      <c r="AF64" s="372">
        <f t="shared" si="9"/>
        <v>5171</v>
      </c>
      <c r="AH64" s="231"/>
      <c r="AI64" s="231"/>
      <c r="AJ64" s="404">
        <v>462</v>
      </c>
      <c r="AK64" s="287"/>
    </row>
    <row r="65" spans="1:37" s="280" customFormat="1" x14ac:dyDescent="0.25">
      <c r="A65" s="625"/>
      <c r="B65" s="698"/>
      <c r="C65" s="691"/>
      <c r="D65" s="703"/>
      <c r="E65" s="692" t="s">
        <v>59</v>
      </c>
      <c r="F65" s="698" t="e">
        <f>RANK(F64,$W$19:$W$135,0)</f>
        <v>#N/A</v>
      </c>
      <c r="G65" s="698" t="e">
        <f>RANK(G64,$X$19:$X$135,0)</f>
        <v>#N/A</v>
      </c>
      <c r="H65" s="698" t="e">
        <f>RANK(H64,$Y$19:$Y$135,0)</f>
        <v>#N/A</v>
      </c>
      <c r="I65" s="698" t="e">
        <f>RANK(I64,$Z$19:$Z$135,0)</f>
        <v>#N/A</v>
      </c>
      <c r="J65" s="700" t="e">
        <f>RANK(J64,$AA$19:$AA$110,0)</f>
        <v>#N/A</v>
      </c>
      <c r="K65" s="698" t="e">
        <f>RANK(K64,$AB$19:$AB$109,0)</f>
        <v>#N/A</v>
      </c>
      <c r="L65" s="698" t="e">
        <f>RANK(L64,$AC$19:$AC$115,0)</f>
        <v>#N/A</v>
      </c>
      <c r="M65" s="698" t="e">
        <f>RANK(M64,$AD$19:$AD$135,0)</f>
        <v>#N/A</v>
      </c>
      <c r="N65" s="698" t="e">
        <f>RANK(N64,$AE$19:$AE$135,0)</f>
        <v>#N/A</v>
      </c>
      <c r="O65" s="698" t="e">
        <f>RANK(O64,$AF$19:$AF$109,0)</f>
        <v>#N/A</v>
      </c>
      <c r="P65" s="648"/>
      <c r="Q65" s="701"/>
      <c r="R65" s="411"/>
      <c r="S65" s="675">
        <f>B61</f>
        <v>44</v>
      </c>
      <c r="T65" s="287">
        <f>$A61</f>
        <v>10</v>
      </c>
      <c r="U65" s="287">
        <v>5</v>
      </c>
      <c r="V65" s="287" t="s">
        <v>162</v>
      </c>
      <c r="W65" s="307"/>
      <c r="X65" s="307"/>
      <c r="Y65" s="307"/>
      <c r="Z65" s="307"/>
      <c r="AA65" s="307"/>
      <c r="AB65" s="307"/>
      <c r="AC65" s="307"/>
      <c r="AD65" s="450"/>
      <c r="AE65" s="450"/>
      <c r="AF65" s="450"/>
      <c r="AH65" s="231"/>
      <c r="AI65" s="231"/>
      <c r="AJ65" s="404">
        <v>462</v>
      </c>
      <c r="AK65" s="287"/>
    </row>
    <row r="66" spans="1:37" s="280" customFormat="1" x14ac:dyDescent="0.35">
      <c r="A66" s="686">
        <v>11</v>
      </c>
      <c r="B66" s="523">
        <v>50</v>
      </c>
      <c r="C66" s="690" t="e">
        <f>VLOOKUP(B66,Уч!$A$2:$L$34,2,FALSE)</f>
        <v>#N/A</v>
      </c>
      <c r="D66" s="528" t="e">
        <f>VLOOKUP(B66,Уч!$A$2:$L$34,3,FALSE)</f>
        <v>#N/A</v>
      </c>
      <c r="E66" s="509" t="s">
        <v>19</v>
      </c>
      <c r="F66" s="670" t="e">
        <f>VLOOKUP($B66,'100 м 1'!$C$18:$I$87,5,FALSE)</f>
        <v>#N/A</v>
      </c>
      <c r="G66" s="670" t="e">
        <f>VLOOKUP($B66,'длина 2 '!$C$16:$O$54,11,FALSE)</f>
        <v>#N/A</v>
      </c>
      <c r="H66" s="670" t="e">
        <f>VLOOKUP($B66,'ядро 2'!$C$16:$K$60,8,FALSE)</f>
        <v>#N/A</v>
      </c>
      <c r="I66" s="670">
        <f>VLOOKUP($B66,'высота 2'!$C$16:$AF$57,29,FALSE)</f>
        <v>1.88</v>
      </c>
      <c r="J66" s="671">
        <f>VLOOKUP($B66,'4_р'!$C$17:$H$73,5,FALSE)</f>
        <v>50.95</v>
      </c>
      <c r="K66" s="670">
        <f>VLOOKUP($B66,'1cб_р'!$C$17:$I$67,5,FALSE)</f>
        <v>16.010000000000002</v>
      </c>
      <c r="L66" s="670">
        <f>VLOOKUP($B66,Дс_р!$C$16:$K$70,8,FALSE)</f>
        <v>32.69</v>
      </c>
      <c r="M66" s="670">
        <f>VLOOKUP($B66,Ш_р!$C$15:$AF$69,29,FALSE)</f>
        <v>3.9</v>
      </c>
      <c r="N66" s="670">
        <f>VLOOKUP($B66,К_р!$C$15:$K$68,8,FALSE)</f>
        <v>45.25</v>
      </c>
      <c r="O66" s="523" t="str">
        <f>VLOOKUP($B66,'15_р'!$C$17:$H$86,5,FALSE)</f>
        <v>4:54.00</v>
      </c>
      <c r="P66" s="695" t="e">
        <f>SUM(F68:O68)</f>
        <v>#N/A</v>
      </c>
      <c r="Q66" s="522" t="e">
        <f>LOOKUP(P66,Y$1:AH$1,Y$2:AH$2)</f>
        <v>#N/A</v>
      </c>
      <c r="R66" s="721" t="e">
        <f>AH66+AI66+5</f>
        <v>#N/A</v>
      </c>
      <c r="S66" s="523">
        <f>B66</f>
        <v>50</v>
      </c>
      <c r="T66" s="287">
        <f>$A66</f>
        <v>11</v>
      </c>
      <c r="U66" s="287">
        <v>1</v>
      </c>
      <c r="V66" s="287" t="s">
        <v>162</v>
      </c>
      <c r="W66" s="449"/>
      <c r="X66" s="307"/>
      <c r="Y66" s="307"/>
      <c r="Z66" s="307"/>
      <c r="AA66" s="307"/>
      <c r="AB66" s="307"/>
      <c r="AC66" s="307"/>
      <c r="AD66" s="450"/>
      <c r="AE66" s="450"/>
      <c r="AF66" s="450"/>
      <c r="AH66" s="280" t="e">
        <f>IF(AND(T66&gt;16,P66&gt;=6200),"1",LOOKUP(T66,Y$5:AO$5,Y$6:AO$6))</f>
        <v>#N/A</v>
      </c>
      <c r="AI66" s="280" t="e">
        <f>LOOKUP(Q66,Y$8:AD$8,Y$9:AD$9)</f>
        <v>#N/A</v>
      </c>
      <c r="AJ66" s="404">
        <v>455</v>
      </c>
      <c r="AK66" s="231"/>
    </row>
    <row r="67" spans="1:37" s="280" customFormat="1" x14ac:dyDescent="0.35">
      <c r="A67" s="686"/>
      <c r="B67" s="523"/>
      <c r="C67" s="723" t="e">
        <f>VLOOKUP(B66,Уч!$A$2:$L$34,5,FALSE)</f>
        <v>#N/A</v>
      </c>
      <c r="D67" s="528" t="e">
        <f>VLOOKUP(B66,Уч!$A$2:$L$34,4,FALSE)</f>
        <v>#N/A</v>
      </c>
      <c r="E67" s="509" t="s">
        <v>25</v>
      </c>
      <c r="F67" s="672" t="e">
        <f>VLOOKUP($B66,'100 м 1'!$C$18:$I$87,6,FALSE)</f>
        <v>#N/A</v>
      </c>
      <c r="G67" s="672" t="e">
        <f>VLOOKUP($B66,'длина 2 '!$C$16:$O$54,12,FALSE)</f>
        <v>#N/A</v>
      </c>
      <c r="H67" s="523"/>
      <c r="I67" s="672"/>
      <c r="J67" s="673"/>
      <c r="K67" s="672">
        <f>VLOOKUP($B66,'1cб_р'!$C$17:$I$67,6,FALSE)</f>
        <v>-1.5</v>
      </c>
      <c r="L67" s="672"/>
      <c r="M67" s="672"/>
      <c r="N67" s="523"/>
      <c r="O67" s="523"/>
      <c r="P67" s="695"/>
      <c r="Q67" s="674"/>
      <c r="R67" s="721" t="e">
        <f>CONCATENATE(AH66,"+",AI66,"+",5)</f>
        <v>#N/A</v>
      </c>
      <c r="S67" s="523">
        <f>B66</f>
        <v>50</v>
      </c>
      <c r="T67" s="287">
        <f>$A66</f>
        <v>11</v>
      </c>
      <c r="U67" s="287">
        <v>2</v>
      </c>
      <c r="V67" s="287" t="s">
        <v>162</v>
      </c>
      <c r="W67" s="449"/>
      <c r="X67" s="307"/>
      <c r="Y67" s="307"/>
      <c r="Z67" s="307"/>
      <c r="AA67" s="307"/>
      <c r="AB67" s="307"/>
      <c r="AC67" s="307"/>
      <c r="AD67" s="450"/>
      <c r="AE67" s="450"/>
      <c r="AF67" s="450"/>
      <c r="AH67" s="231"/>
      <c r="AI67" s="231"/>
      <c r="AJ67" s="404">
        <v>455</v>
      </c>
      <c r="AK67" s="231"/>
    </row>
    <row r="68" spans="1:37" s="280" customFormat="1" x14ac:dyDescent="0.35">
      <c r="A68" s="686"/>
      <c r="B68" s="523"/>
      <c r="C68" s="724" t="e">
        <f>VLOOKUP(B66,Уч!$A$2:$L$34,7,FALSE)</f>
        <v>#N/A</v>
      </c>
      <c r="D68" s="528"/>
      <c r="E68" s="509" t="s">
        <v>29</v>
      </c>
      <c r="F68" s="523" t="e">
        <f>VLOOKUP($B66,'100 м 1'!$C$18:$I$87,7,FALSE)</f>
        <v>#N/A</v>
      </c>
      <c r="G68" s="523" t="e">
        <f>VLOOKUP($B66,'длина 2 '!$C$16:$O$54,13,FALSE)</f>
        <v>#N/A</v>
      </c>
      <c r="H68" s="523" t="e">
        <f>VLOOKUP($B66,'ядро 2'!$C$16:$K$60,9,FALSE)</f>
        <v>#N/A</v>
      </c>
      <c r="I68" s="523">
        <f>VLOOKUP($B66,'высота 2'!$C$16:$AF$57,30,)</f>
        <v>0</v>
      </c>
      <c r="J68" s="526">
        <f>VLOOKUP($B66,'4_р'!$C$17:$H$73,6,FALSE)</f>
        <v>771</v>
      </c>
      <c r="K68" s="523">
        <f>VLOOKUP($B66,'1cб_р'!$C$17:$I$67,7,FALSE)</f>
        <v>732</v>
      </c>
      <c r="L68" s="523">
        <f>VLOOKUP($B66,Дс_р!$C$16:$K$70,9,FALSE)</f>
        <v>518</v>
      </c>
      <c r="M68" s="523">
        <f>VLOOKUP($B66,Ш_р!$C$15:$AF$69,30,FALSE)</f>
        <v>590</v>
      </c>
      <c r="N68" s="523">
        <f>VLOOKUP($B66,К_р!$C$15:$K$68,9,FALSE)</f>
        <v>519</v>
      </c>
      <c r="O68" s="523">
        <f>VLOOKUP($B66,'15_р'!$C$17:$H$86,6,FALSE)</f>
        <v>595</v>
      </c>
      <c r="P68" s="695"/>
      <c r="Q68" s="676"/>
      <c r="R68" s="697"/>
      <c r="S68" s="523">
        <f>B66</f>
        <v>50</v>
      </c>
      <c r="T68" s="287">
        <f>$A66</f>
        <v>11</v>
      </c>
      <c r="U68" s="287">
        <v>3</v>
      </c>
      <c r="V68" s="287" t="s">
        <v>162</v>
      </c>
      <c r="W68" s="449"/>
      <c r="X68" s="307"/>
      <c r="Y68" s="307"/>
      <c r="Z68" s="307"/>
      <c r="AA68" s="307"/>
      <c r="AB68" s="307"/>
      <c r="AC68" s="307"/>
      <c r="AD68" s="450"/>
      <c r="AE68" s="450"/>
      <c r="AF68" s="450"/>
      <c r="AH68" s="231"/>
      <c r="AI68" s="231"/>
      <c r="AJ68" s="404">
        <v>455</v>
      </c>
      <c r="AK68" s="231"/>
    </row>
    <row r="69" spans="1:37" s="280" customFormat="1" x14ac:dyDescent="0.35">
      <c r="A69" s="686"/>
      <c r="B69" s="523"/>
      <c r="C69" s="723" t="e">
        <f>VLOOKUP(B66,Уч!$A$2:$L$34,11,FALSE)</f>
        <v>#N/A</v>
      </c>
      <c r="D69" s="528"/>
      <c r="E69" s="509" t="s">
        <v>276</v>
      </c>
      <c r="F69" s="523" t="e">
        <f>F68</f>
        <v>#N/A</v>
      </c>
      <c r="G69" s="523" t="e">
        <f>F69+G68</f>
        <v>#N/A</v>
      </c>
      <c r="H69" s="523" t="e">
        <f>G69+H68</f>
        <v>#N/A</v>
      </c>
      <c r="I69" s="523" t="e">
        <f>H69+I68</f>
        <v>#N/A</v>
      </c>
      <c r="J69" s="526" t="e">
        <f>SUM($F68:J68)</f>
        <v>#N/A</v>
      </c>
      <c r="K69" s="523" t="e">
        <f>SUM($F68:$K68)</f>
        <v>#N/A</v>
      </c>
      <c r="L69" s="523" t="e">
        <f>K69+L68</f>
        <v>#N/A</v>
      </c>
      <c r="M69" s="523" t="e">
        <f>L69+M68</f>
        <v>#N/A</v>
      </c>
      <c r="N69" s="523" t="e">
        <f>SUM($F68:$N68)</f>
        <v>#N/A</v>
      </c>
      <c r="O69" s="523" t="e">
        <f>SUM($F68:$O68)</f>
        <v>#N/A</v>
      </c>
      <c r="P69" s="695"/>
      <c r="Q69" s="674"/>
      <c r="R69" s="697"/>
      <c r="S69" s="523">
        <f>B66</f>
        <v>50</v>
      </c>
      <c r="T69" s="287">
        <f>$A66</f>
        <v>11</v>
      </c>
      <c r="U69" s="287">
        <v>4</v>
      </c>
      <c r="V69" s="287" t="s">
        <v>162</v>
      </c>
      <c r="W69" s="372" t="e">
        <f t="shared" ref="W69:AF69" si="10">F69</f>
        <v>#N/A</v>
      </c>
      <c r="X69" s="372" t="e">
        <f t="shared" si="10"/>
        <v>#N/A</v>
      </c>
      <c r="Y69" s="372" t="e">
        <f t="shared" si="10"/>
        <v>#N/A</v>
      </c>
      <c r="Z69" s="372" t="e">
        <f t="shared" si="10"/>
        <v>#N/A</v>
      </c>
      <c r="AA69" s="372" t="e">
        <f t="shared" si="10"/>
        <v>#N/A</v>
      </c>
      <c r="AB69" s="372" t="e">
        <f t="shared" si="10"/>
        <v>#N/A</v>
      </c>
      <c r="AC69" s="372" t="e">
        <f t="shared" si="10"/>
        <v>#N/A</v>
      </c>
      <c r="AD69" s="372" t="e">
        <f t="shared" si="10"/>
        <v>#N/A</v>
      </c>
      <c r="AE69" s="372" t="e">
        <f t="shared" si="10"/>
        <v>#N/A</v>
      </c>
      <c r="AF69" s="372" t="e">
        <f t="shared" si="10"/>
        <v>#N/A</v>
      </c>
      <c r="AH69" s="231"/>
      <c r="AI69" s="231"/>
      <c r="AJ69" s="404">
        <v>455</v>
      </c>
      <c r="AK69" s="231"/>
    </row>
    <row r="70" spans="1:37" s="280" customFormat="1" x14ac:dyDescent="0.25">
      <c r="A70" s="625"/>
      <c r="B70" s="698"/>
      <c r="C70" s="691"/>
      <c r="D70" s="699"/>
      <c r="E70" s="692" t="s">
        <v>59</v>
      </c>
      <c r="F70" s="698" t="e">
        <f>RANK(F69,$W$19:$W$135,0)</f>
        <v>#N/A</v>
      </c>
      <c r="G70" s="698" t="e">
        <f>RANK(G69,$X$19:$X$135,0)</f>
        <v>#N/A</v>
      </c>
      <c r="H70" s="698" t="e">
        <f>RANK(H69,$Y$19:$Y$135,0)</f>
        <v>#N/A</v>
      </c>
      <c r="I70" s="698" t="e">
        <f>RANK(I69,$Z$19:$Z$135,0)</f>
        <v>#N/A</v>
      </c>
      <c r="J70" s="700" t="e">
        <f>RANK(J69,$AA$19:$AA$110,0)</f>
        <v>#N/A</v>
      </c>
      <c r="K70" s="698" t="e">
        <f>RANK(K69,$AB$19:$AB$109,0)</f>
        <v>#N/A</v>
      </c>
      <c r="L70" s="698" t="e">
        <f>RANK(L69,$AC$19:$AC$115,0)</f>
        <v>#N/A</v>
      </c>
      <c r="M70" s="698" t="e">
        <f>RANK(M69,$AD$19:$AD$135,0)</f>
        <v>#N/A</v>
      </c>
      <c r="N70" s="698" t="e">
        <f>RANK(N69,$AE$19:$AE$135,0)</f>
        <v>#N/A</v>
      </c>
      <c r="O70" s="698" t="e">
        <f>RANK(O69,$AF$19:$AF$109,0)</f>
        <v>#N/A</v>
      </c>
      <c r="P70" s="648"/>
      <c r="Q70" s="701"/>
      <c r="R70" s="411"/>
      <c r="S70" s="675">
        <f>B66</f>
        <v>50</v>
      </c>
      <c r="T70" s="287">
        <f>$A66</f>
        <v>11</v>
      </c>
      <c r="U70" s="287">
        <v>5</v>
      </c>
      <c r="V70" s="287" t="s">
        <v>162</v>
      </c>
      <c r="W70" s="449"/>
      <c r="X70" s="307"/>
      <c r="Y70" s="307"/>
      <c r="Z70" s="307"/>
      <c r="AA70" s="307"/>
      <c r="AB70" s="307"/>
      <c r="AC70" s="307"/>
      <c r="AD70" s="450"/>
      <c r="AE70" s="450"/>
      <c r="AF70" s="450"/>
      <c r="AH70" s="231"/>
      <c r="AI70" s="231"/>
      <c r="AJ70" s="404">
        <v>455</v>
      </c>
      <c r="AK70" s="231"/>
    </row>
    <row r="71" spans="1:37" s="280" customFormat="1" x14ac:dyDescent="0.35">
      <c r="A71" s="686">
        <v>12</v>
      </c>
      <c r="B71" s="523">
        <v>81</v>
      </c>
      <c r="C71" s="690" t="str">
        <f>VLOOKUP(B71,Уч!$A$2:$L$34,2,FALSE)</f>
        <v>Исаев Максим</v>
      </c>
      <c r="D71" s="528" t="str">
        <f>VLOOKUP(B71,Уч!$A$2:$L$34,3,FALSE)</f>
        <v>10.07.1997</v>
      </c>
      <c r="E71" s="509" t="s">
        <v>19</v>
      </c>
      <c r="F71" s="670">
        <f>VLOOKUP($B71,'100 м 1'!$C$18:$I$87,5,FALSE)</f>
        <v>11.7</v>
      </c>
      <c r="G71" s="670" t="e">
        <f>VLOOKUP($B71,'длина 2 '!$C$16:$O$54,11,FALSE)</f>
        <v>#N/A</v>
      </c>
      <c r="H71" s="670" t="e">
        <f>VLOOKUP($B71,'ядро 2'!$C$16:$K$60,8,FALSE)</f>
        <v>#N/A</v>
      </c>
      <c r="I71" s="670" t="e">
        <f>VLOOKUP($B71,'высота 2'!$C$16:$AF$57,29,FALSE)</f>
        <v>#N/A</v>
      </c>
      <c r="J71" s="671">
        <f>VLOOKUP($B71,'4_р'!$C$17:$H$73,5,FALSE)</f>
        <v>51.28</v>
      </c>
      <c r="K71" s="670">
        <f>VLOOKUP($B71,'1cб_р'!$C$17:$I$67,5,FALSE)</f>
        <v>17.100000000000001</v>
      </c>
      <c r="L71" s="670">
        <f>VLOOKUP($B71,Дс_р!$C$16:$K$70,8,FALSE)</f>
        <v>32.9</v>
      </c>
      <c r="M71" s="670">
        <f>VLOOKUP($B71,Ш_р!$C$15:$AF$69,29,FALSE)</f>
        <v>4</v>
      </c>
      <c r="N71" s="670">
        <f>VLOOKUP($B71,К_р!$C$15:$K$68,8,FALSE)</f>
        <v>47.22</v>
      </c>
      <c r="O71" s="523" t="str">
        <f>VLOOKUP($B71,'15_р'!$C$17:$H$86,5,FALSE)</f>
        <v>4:36.63</v>
      </c>
      <c r="P71" s="695" t="e">
        <f>SUM(F73:O73)</f>
        <v>#N/A</v>
      </c>
      <c r="Q71" s="522" t="e">
        <f>LOOKUP(P71,Y$1:AH$1,Y$2:AH$2)</f>
        <v>#N/A</v>
      </c>
      <c r="R71" s="721" t="e">
        <f>AH71+AI71+5</f>
        <v>#N/A</v>
      </c>
      <c r="S71" s="523">
        <f>B71</f>
        <v>81</v>
      </c>
      <c r="T71" s="287">
        <f>$A71</f>
        <v>12</v>
      </c>
      <c r="U71" s="287">
        <v>1</v>
      </c>
      <c r="V71" s="287">
        <f>$A71</f>
        <v>12</v>
      </c>
      <c r="W71" s="449"/>
      <c r="X71" s="307"/>
      <c r="Y71" s="307"/>
      <c r="Z71" s="307"/>
      <c r="AA71" s="307"/>
      <c r="AB71" s="307"/>
      <c r="AC71" s="307"/>
      <c r="AD71" s="450"/>
      <c r="AE71" s="450"/>
      <c r="AF71" s="450"/>
      <c r="AH71" s="280" t="e">
        <f>IF(AND(T71&gt;16,P71&gt;=6200),"1",LOOKUP(T71,Y$5:AO$5,Y$6:AO$6))</f>
        <v>#N/A</v>
      </c>
      <c r="AI71" s="280" t="e">
        <f>LOOKUP(Q71,Y$8:AD$8,Y$9:AD$9)</f>
        <v>#N/A</v>
      </c>
      <c r="AJ71" s="404">
        <v>505</v>
      </c>
      <c r="AK71" s="231"/>
    </row>
    <row r="72" spans="1:37" s="280" customFormat="1" x14ac:dyDescent="0.35">
      <c r="A72" s="686"/>
      <c r="B72" s="523"/>
      <c r="C72" s="723" t="str">
        <f>VLOOKUP(B71,Уч!$A$2:$L$34,5,FALSE)</f>
        <v xml:space="preserve">Челябинская область  </v>
      </c>
      <c r="D72" s="528" t="str">
        <f>VLOOKUP(B71,Уч!$A$2:$L$34,4,FALSE)</f>
        <v>КМС</v>
      </c>
      <c r="E72" s="509" t="s">
        <v>25</v>
      </c>
      <c r="F72" s="672">
        <f>VLOOKUP($B71,'100 м 1'!$C$18:$I$87,6,FALSE)</f>
        <v>0.1</v>
      </c>
      <c r="G72" s="672" t="e">
        <f>VLOOKUP($B71,'длина 2 '!$C$16:$O$54,12,FALSE)</f>
        <v>#N/A</v>
      </c>
      <c r="H72" s="523"/>
      <c r="I72" s="672"/>
      <c r="J72" s="673"/>
      <c r="K72" s="672">
        <f>VLOOKUP($B71,'1cб_р'!$C$17:$I$67,6,FALSE)</f>
        <v>-1</v>
      </c>
      <c r="L72" s="672"/>
      <c r="M72" s="672"/>
      <c r="N72" s="523"/>
      <c r="O72" s="523"/>
      <c r="P72" s="695"/>
      <c r="Q72" s="674"/>
      <c r="R72" s="721" t="e">
        <f>CONCATENATE(AH71,"+",AI71,"+",5)</f>
        <v>#N/A</v>
      </c>
      <c r="S72" s="523">
        <f>B71</f>
        <v>81</v>
      </c>
      <c r="T72" s="287">
        <f>$A71</f>
        <v>12</v>
      </c>
      <c r="U72" s="287">
        <v>2</v>
      </c>
      <c r="V72" s="287">
        <f>$A71</f>
        <v>12</v>
      </c>
      <c r="W72" s="449"/>
      <c r="X72" s="307"/>
      <c r="Y72" s="307"/>
      <c r="Z72" s="307"/>
      <c r="AA72" s="307"/>
      <c r="AB72" s="307"/>
      <c r="AC72" s="307"/>
      <c r="AD72" s="450"/>
      <c r="AE72" s="450"/>
      <c r="AF72" s="450"/>
      <c r="AH72" s="231"/>
      <c r="AI72" s="231"/>
      <c r="AJ72" s="404">
        <v>505</v>
      </c>
      <c r="AK72" s="231"/>
    </row>
    <row r="73" spans="1:37" s="280" customFormat="1" x14ac:dyDescent="0.35">
      <c r="A73" s="686"/>
      <c r="B73" s="523"/>
      <c r="C73" s="724" t="str">
        <f>VLOOKUP(B71,Уч!$A$2:$L$34,7,FALSE)</f>
        <v>МБУ СШОР № 2 по легкой атлетике имени Л.Н.Мосеева г.Челябинск, УралГУФК</v>
      </c>
      <c r="D73" s="528"/>
      <c r="E73" s="509" t="s">
        <v>29</v>
      </c>
      <c r="F73" s="523">
        <f>VLOOKUP($B71,'100 м 1'!$C$18:$I$87,7,FALSE)</f>
        <v>711</v>
      </c>
      <c r="G73" s="523" t="e">
        <f>VLOOKUP($B71,'длина 2 '!$C$16:$O$54,13,FALSE)</f>
        <v>#N/A</v>
      </c>
      <c r="H73" s="523" t="e">
        <f>VLOOKUP($B71,'ядро 2'!$C$16:$K$60,9,FALSE)</f>
        <v>#N/A</v>
      </c>
      <c r="I73" s="523" t="e">
        <f>VLOOKUP($B71,'высота 2'!$C$16:$AF$57,30,)</f>
        <v>#N/A</v>
      </c>
      <c r="J73" s="526">
        <f>VLOOKUP($B71,'4_р'!$C$17:$H$73,6,FALSE)</f>
        <v>757</v>
      </c>
      <c r="K73" s="523">
        <f>VLOOKUP($B71,'1cб_р'!$C$17:$I$67,7,FALSE)</f>
        <v>614</v>
      </c>
      <c r="L73" s="523">
        <f>VLOOKUP($B71,Дс_р!$C$16:$K$70,9,FALSE)</f>
        <v>522</v>
      </c>
      <c r="M73" s="523">
        <f>VLOOKUP($B71,Ш_р!$C$15:$AF$69,30,FALSE)</f>
        <v>617</v>
      </c>
      <c r="N73" s="523">
        <f>VLOOKUP($B71,К_р!$C$15:$K$68,9,FALSE)</f>
        <v>548</v>
      </c>
      <c r="O73" s="523">
        <f>VLOOKUP($B71,'15_р'!$C$17:$H$86,6,FALSE)</f>
        <v>702</v>
      </c>
      <c r="P73" s="695"/>
      <c r="Q73" s="650"/>
      <c r="R73" s="697"/>
      <c r="S73" s="523">
        <f>B71</f>
        <v>81</v>
      </c>
      <c r="T73" s="287">
        <f>$A71</f>
        <v>12</v>
      </c>
      <c r="U73" s="287">
        <v>3</v>
      </c>
      <c r="V73" s="287">
        <f>$A71</f>
        <v>12</v>
      </c>
      <c r="W73" s="449"/>
      <c r="X73" s="307"/>
      <c r="Y73" s="307"/>
      <c r="Z73" s="307"/>
      <c r="AA73" s="307"/>
      <c r="AB73" s="307"/>
      <c r="AC73" s="307"/>
      <c r="AD73" s="450"/>
      <c r="AE73" s="450"/>
      <c r="AF73" s="450"/>
      <c r="AH73" s="231"/>
      <c r="AI73" s="231"/>
      <c r="AJ73" s="404">
        <v>505</v>
      </c>
      <c r="AK73" s="231"/>
    </row>
    <row r="74" spans="1:37" s="280" customFormat="1" x14ac:dyDescent="0.35">
      <c r="A74" s="686"/>
      <c r="B74" s="523"/>
      <c r="C74" s="723" t="str">
        <f>VLOOKUP(B71,Уч!$A$2:$L$34,11,FALSE)</f>
        <v>Пугач С.В.</v>
      </c>
      <c r="D74" s="528"/>
      <c r="E74" s="509" t="s">
        <v>276</v>
      </c>
      <c r="F74" s="523">
        <f>F73</f>
        <v>711</v>
      </c>
      <c r="G74" s="523" t="e">
        <f>F74+G73</f>
        <v>#N/A</v>
      </c>
      <c r="H74" s="523" t="e">
        <f>G74+H73</f>
        <v>#N/A</v>
      </c>
      <c r="I74" s="523" t="e">
        <f>H74+I73</f>
        <v>#N/A</v>
      </c>
      <c r="J74" s="526" t="e">
        <f>SUM($F73:J73)</f>
        <v>#N/A</v>
      </c>
      <c r="K74" s="523" t="e">
        <f>SUM($F73:$K73)</f>
        <v>#N/A</v>
      </c>
      <c r="L74" s="523" t="e">
        <f>K74+L73</f>
        <v>#N/A</v>
      </c>
      <c r="M74" s="523" t="e">
        <f>L74+M73</f>
        <v>#N/A</v>
      </c>
      <c r="N74" s="523" t="e">
        <f>SUM($F73:$N73)</f>
        <v>#N/A</v>
      </c>
      <c r="O74" s="523" t="e">
        <f>SUM($F73:$O73)</f>
        <v>#N/A</v>
      </c>
      <c r="P74" s="695"/>
      <c r="Q74" s="650"/>
      <c r="R74" s="697"/>
      <c r="S74" s="523">
        <f>B71</f>
        <v>81</v>
      </c>
      <c r="T74" s="287">
        <f>$A71</f>
        <v>12</v>
      </c>
      <c r="U74" s="287">
        <v>4</v>
      </c>
      <c r="V74" s="287">
        <f>$A71</f>
        <v>12</v>
      </c>
      <c r="W74" s="372">
        <f t="shared" ref="W74:AF74" si="11">F74</f>
        <v>711</v>
      </c>
      <c r="X74" s="372" t="e">
        <f t="shared" si="11"/>
        <v>#N/A</v>
      </c>
      <c r="Y74" s="372" t="e">
        <f t="shared" si="11"/>
        <v>#N/A</v>
      </c>
      <c r="Z74" s="372" t="e">
        <f t="shared" si="11"/>
        <v>#N/A</v>
      </c>
      <c r="AA74" s="372" t="e">
        <f t="shared" si="11"/>
        <v>#N/A</v>
      </c>
      <c r="AB74" s="372" t="e">
        <f t="shared" si="11"/>
        <v>#N/A</v>
      </c>
      <c r="AC74" s="372" t="e">
        <f t="shared" si="11"/>
        <v>#N/A</v>
      </c>
      <c r="AD74" s="372" t="e">
        <f t="shared" si="11"/>
        <v>#N/A</v>
      </c>
      <c r="AE74" s="372" t="e">
        <f t="shared" si="11"/>
        <v>#N/A</v>
      </c>
      <c r="AF74" s="372" t="e">
        <f t="shared" si="11"/>
        <v>#N/A</v>
      </c>
      <c r="AH74" s="231"/>
      <c r="AI74" s="231"/>
      <c r="AJ74" s="404">
        <v>505</v>
      </c>
      <c r="AK74" s="231"/>
    </row>
    <row r="75" spans="1:37" s="280" customFormat="1" x14ac:dyDescent="0.25">
      <c r="A75" s="625"/>
      <c r="B75" s="698"/>
      <c r="C75" s="691"/>
      <c r="D75" s="699"/>
      <c r="E75" s="692" t="s">
        <v>59</v>
      </c>
      <c r="F75" s="698" t="e">
        <f>RANK(F74,$W$19:$W$135,0)</f>
        <v>#N/A</v>
      </c>
      <c r="G75" s="698" t="e">
        <f>RANK(G74,$X$19:$X$135,0)</f>
        <v>#N/A</v>
      </c>
      <c r="H75" s="698" t="e">
        <f>RANK(H74,$Y$19:$Y$135,0)</f>
        <v>#N/A</v>
      </c>
      <c r="I75" s="698" t="e">
        <f>RANK(I74,$Z$19:$Z$135,0)</f>
        <v>#N/A</v>
      </c>
      <c r="J75" s="700" t="e">
        <f>RANK(J74,$AA$19:$AA$110,0)</f>
        <v>#N/A</v>
      </c>
      <c r="K75" s="698" t="e">
        <f>RANK(K74,$AB$19:$AB$109,0)</f>
        <v>#N/A</v>
      </c>
      <c r="L75" s="698" t="e">
        <f>RANK(L74,$AC$19:$AC$115,0)</f>
        <v>#N/A</v>
      </c>
      <c r="M75" s="698" t="e">
        <f>RANK(M74,$AD$19:$AD$135,0)</f>
        <v>#N/A</v>
      </c>
      <c r="N75" s="698" t="e">
        <f>RANK(N74,$AE$19:$AE$135,0)</f>
        <v>#N/A</v>
      </c>
      <c r="O75" s="698" t="e">
        <f>RANK(O74,$AF$19:$AF$109,0)</f>
        <v>#N/A</v>
      </c>
      <c r="P75" s="648"/>
      <c r="Q75" s="701"/>
      <c r="R75" s="411"/>
      <c r="S75" s="675">
        <f>B71</f>
        <v>81</v>
      </c>
      <c r="T75" s="287">
        <f>$A71</f>
        <v>12</v>
      </c>
      <c r="U75" s="287">
        <v>5</v>
      </c>
      <c r="V75" s="287">
        <f>$A71</f>
        <v>12</v>
      </c>
      <c r="W75" s="449"/>
      <c r="X75" s="307"/>
      <c r="Y75" s="307"/>
      <c r="Z75" s="307"/>
      <c r="AA75" s="307"/>
      <c r="AB75" s="307"/>
      <c r="AC75" s="307"/>
      <c r="AD75" s="450"/>
      <c r="AE75" s="450"/>
      <c r="AF75" s="450"/>
      <c r="AH75" s="231"/>
      <c r="AI75" s="231"/>
      <c r="AJ75" s="404">
        <v>505</v>
      </c>
      <c r="AK75" s="231"/>
    </row>
    <row r="76" spans="1:37" s="280" customFormat="1" x14ac:dyDescent="0.35">
      <c r="A76" s="686">
        <v>13</v>
      </c>
      <c r="B76" s="523">
        <v>69</v>
      </c>
      <c r="C76" s="690" t="e">
        <f>VLOOKUP(B76,Уч!$A$2:$L$34,2,FALSE)</f>
        <v>#N/A</v>
      </c>
      <c r="D76" s="528" t="e">
        <f>VLOOKUP(B76,Уч!$A$2:$L$34,3,FALSE)</f>
        <v>#N/A</v>
      </c>
      <c r="E76" s="509" t="s">
        <v>19</v>
      </c>
      <c r="F76" s="670" t="e">
        <f>VLOOKUP($B76,'100 м 1'!$C$18:$I$87,5,FALSE)</f>
        <v>#N/A</v>
      </c>
      <c r="G76" s="670" t="e">
        <f>VLOOKUP($B76,'длина 2 '!$C$16:$O$54,11,FALSE)</f>
        <v>#N/A</v>
      </c>
      <c r="H76" s="670" t="e">
        <f>VLOOKUP($B76,'ядро 2'!$C$16:$K$60,8,FALSE)</f>
        <v>#N/A</v>
      </c>
      <c r="I76" s="670">
        <f>VLOOKUP($B76,'высота 2'!$C$16:$AF$57,29,FALSE)</f>
        <v>1.85</v>
      </c>
      <c r="J76" s="671">
        <f>VLOOKUP($B76,'4_р'!$C$17:$H$73,5,FALSE)</f>
        <v>52.67</v>
      </c>
      <c r="K76" s="670">
        <f>VLOOKUP($B76,'1cб_р'!$C$17:$I$67,5,FALSE)</f>
        <v>17.38</v>
      </c>
      <c r="L76" s="670">
        <f>VLOOKUP($B76,Дс_р!$C$16:$K$70,8,FALSE)</f>
        <v>30.38</v>
      </c>
      <c r="M76" s="670">
        <f>VLOOKUP($B76,Ш_р!$C$15:$AF$69,29,FALSE)</f>
        <v>4</v>
      </c>
      <c r="N76" s="670">
        <f>VLOOKUP($B76,К_р!$C$15:$K$68,8,FALSE)</f>
        <v>42.56</v>
      </c>
      <c r="O76" s="523" t="str">
        <f>VLOOKUP($B76,'15_р'!$C$17:$H$86,5,FALSE)</f>
        <v>4:13.03</v>
      </c>
      <c r="P76" s="695" t="e">
        <f>SUM(F78:O78)</f>
        <v>#N/A</v>
      </c>
      <c r="Q76" s="522" t="e">
        <f>LOOKUP(P76,Y$1:AH$1,Y$2:AH$2)</f>
        <v>#N/A</v>
      </c>
      <c r="R76" s="721" t="e">
        <f>AH76+AI76+5</f>
        <v>#N/A</v>
      </c>
      <c r="S76" s="523">
        <f>B76</f>
        <v>69</v>
      </c>
      <c r="T76" s="287">
        <f>$A76</f>
        <v>13</v>
      </c>
      <c r="U76" s="287">
        <v>1</v>
      </c>
      <c r="V76" s="287">
        <f>$A76</f>
        <v>13</v>
      </c>
      <c r="W76" s="449"/>
      <c r="X76" s="307"/>
      <c r="Y76" s="307"/>
      <c r="Z76" s="307"/>
      <c r="AA76" s="307"/>
      <c r="AB76" s="307"/>
      <c r="AC76" s="307"/>
      <c r="AD76" s="450"/>
      <c r="AE76" s="450"/>
      <c r="AF76" s="450"/>
      <c r="AH76" s="280" t="e">
        <f>IF(AND(T76&gt;16,P76&gt;=6200),"1",LOOKUP(T76,Y$5:AO$5,Y$6:AO$6))</f>
        <v>#N/A</v>
      </c>
      <c r="AI76" s="280" t="e">
        <f>LOOKUP(Q76,Y$8:AD$8,Y$9:AD$9)</f>
        <v>#N/A</v>
      </c>
      <c r="AJ76" s="404">
        <v>449</v>
      </c>
      <c r="AK76" s="231"/>
    </row>
    <row r="77" spans="1:37" s="280" customFormat="1" x14ac:dyDescent="0.35">
      <c r="A77" s="686"/>
      <c r="B77" s="523"/>
      <c r="C77" s="723" t="e">
        <f>VLOOKUP(B76,Уч!$A$2:$L$34,5,FALSE)</f>
        <v>#N/A</v>
      </c>
      <c r="D77" s="525" t="e">
        <f>VLOOKUP(B76,Уч!$A$2:$L$34,4,FALSE)</f>
        <v>#N/A</v>
      </c>
      <c r="E77" s="509" t="s">
        <v>25</v>
      </c>
      <c r="F77" s="672" t="e">
        <f>VLOOKUP($B76,'100 м 1'!$C$18:$I$87,6,FALSE)</f>
        <v>#N/A</v>
      </c>
      <c r="G77" s="672" t="e">
        <f>VLOOKUP($B76,'длина 2 '!$C$16:$O$54,12,FALSE)</f>
        <v>#N/A</v>
      </c>
      <c r="H77" s="523"/>
      <c r="I77" s="672"/>
      <c r="J77" s="673"/>
      <c r="K77" s="672">
        <f>VLOOKUP($B76,'1cб_р'!$C$17:$I$67,6,FALSE)</f>
        <v>0</v>
      </c>
      <c r="L77" s="672"/>
      <c r="M77" s="672"/>
      <c r="N77" s="523"/>
      <c r="O77" s="523"/>
      <c r="P77" s="695"/>
      <c r="Q77" s="674"/>
      <c r="R77" s="721" t="e">
        <f>CONCATENATE(AH76,"+",AI76,"+",5)</f>
        <v>#N/A</v>
      </c>
      <c r="S77" s="523">
        <f>B76</f>
        <v>69</v>
      </c>
      <c r="T77" s="287">
        <f>$A76</f>
        <v>13</v>
      </c>
      <c r="U77" s="287">
        <v>2</v>
      </c>
      <c r="V77" s="287">
        <f>$A76</f>
        <v>13</v>
      </c>
      <c r="W77" s="449"/>
      <c r="X77" s="307"/>
      <c r="Y77" s="307"/>
      <c r="Z77" s="307"/>
      <c r="AA77" s="307"/>
      <c r="AB77" s="307"/>
      <c r="AC77" s="307"/>
      <c r="AD77" s="450"/>
      <c r="AE77" s="450"/>
      <c r="AF77" s="450"/>
      <c r="AH77" s="231"/>
      <c r="AI77" s="231"/>
      <c r="AJ77" s="404">
        <v>449</v>
      </c>
      <c r="AK77" s="231"/>
    </row>
    <row r="78" spans="1:37" s="280" customFormat="1" x14ac:dyDescent="0.35">
      <c r="A78" s="686"/>
      <c r="B78" s="523"/>
      <c r="C78" s="724" t="e">
        <f>VLOOKUP(B76,Уч!$A$2:$L$34,7,FALSE)</f>
        <v>#N/A</v>
      </c>
      <c r="D78" s="525"/>
      <c r="E78" s="509" t="s">
        <v>29</v>
      </c>
      <c r="F78" s="523" t="e">
        <f>VLOOKUP($B76,'100 м 1'!$C$18:$I$87,7,FALSE)</f>
        <v>#N/A</v>
      </c>
      <c r="G78" s="523" t="e">
        <f>VLOOKUP($B76,'длина 2 '!$C$16:$O$54,13,FALSE)</f>
        <v>#N/A</v>
      </c>
      <c r="H78" s="523" t="e">
        <f>VLOOKUP($B76,'ядро 2'!$C$16:$K$60,9,FALSE)</f>
        <v>#N/A</v>
      </c>
      <c r="I78" s="523">
        <f>VLOOKUP($B76,'высота 2'!$C$16:$AF$57,30,)</f>
        <v>0</v>
      </c>
      <c r="J78" s="526">
        <f>VLOOKUP($B76,'4_р'!$C$17:$H$73,6,FALSE)</f>
        <v>696</v>
      </c>
      <c r="K78" s="523">
        <f>VLOOKUP($B76,'1cб_р'!$C$17:$I$67,7,FALSE)</f>
        <v>585</v>
      </c>
      <c r="L78" s="523">
        <f>VLOOKUP($B76,Дс_р!$C$16:$K$70,9,FALSE)</f>
        <v>472</v>
      </c>
      <c r="M78" s="523">
        <f>VLOOKUP($B76,Ш_р!$C$15:$AF$69,30,FALSE)</f>
        <v>617</v>
      </c>
      <c r="N78" s="523">
        <f>VLOOKUP($B76,К_р!$C$15:$K$68,9,FALSE)</f>
        <v>479</v>
      </c>
      <c r="O78" s="523">
        <f>VLOOKUP($B76,'15_р'!$C$17:$H$86,6,FALSE)</f>
        <v>860</v>
      </c>
      <c r="P78" s="695"/>
      <c r="Q78" s="676"/>
      <c r="R78" s="697"/>
      <c r="S78" s="523">
        <f>B76</f>
        <v>69</v>
      </c>
      <c r="T78" s="287">
        <f>$A76</f>
        <v>13</v>
      </c>
      <c r="U78" s="287">
        <v>3</v>
      </c>
      <c r="V78" s="287">
        <f>$A76</f>
        <v>13</v>
      </c>
      <c r="W78" s="449"/>
      <c r="X78" s="307"/>
      <c r="Y78" s="307"/>
      <c r="Z78" s="307"/>
      <c r="AA78" s="307"/>
      <c r="AB78" s="307"/>
      <c r="AC78" s="307"/>
      <c r="AD78" s="450"/>
      <c r="AE78" s="450"/>
      <c r="AF78" s="450"/>
      <c r="AH78" s="231"/>
      <c r="AI78" s="231"/>
      <c r="AJ78" s="404">
        <v>449</v>
      </c>
      <c r="AK78" s="231"/>
    </row>
    <row r="79" spans="1:37" s="280" customFormat="1" x14ac:dyDescent="0.35">
      <c r="A79" s="686"/>
      <c r="B79" s="523"/>
      <c r="C79" s="723" t="e">
        <f>VLOOKUP(B76,Уч!$A$2:$L$34,11,FALSE)</f>
        <v>#N/A</v>
      </c>
      <c r="D79" s="525"/>
      <c r="E79" s="509" t="s">
        <v>276</v>
      </c>
      <c r="F79" s="523" t="e">
        <f>F78</f>
        <v>#N/A</v>
      </c>
      <c r="G79" s="523" t="e">
        <f>F79+G78</f>
        <v>#N/A</v>
      </c>
      <c r="H79" s="523" t="e">
        <f>G79+H78</f>
        <v>#N/A</v>
      </c>
      <c r="I79" s="523" t="e">
        <f>H79+I78</f>
        <v>#N/A</v>
      </c>
      <c r="J79" s="526" t="e">
        <f>SUM($F78:J78)</f>
        <v>#N/A</v>
      </c>
      <c r="K79" s="523" t="e">
        <f>SUM($F78:$K78)</f>
        <v>#N/A</v>
      </c>
      <c r="L79" s="523" t="e">
        <f>K79+L78</f>
        <v>#N/A</v>
      </c>
      <c r="M79" s="523" t="e">
        <f>L79+M78</f>
        <v>#N/A</v>
      </c>
      <c r="N79" s="523" t="e">
        <f>SUM($F78:$N78)</f>
        <v>#N/A</v>
      </c>
      <c r="O79" s="523" t="e">
        <f>SUM($F78:$O78)</f>
        <v>#N/A</v>
      </c>
      <c r="P79" s="695"/>
      <c r="Q79" s="674"/>
      <c r="R79" s="697"/>
      <c r="S79" s="523">
        <f>B76</f>
        <v>69</v>
      </c>
      <c r="T79" s="287">
        <f>$A76</f>
        <v>13</v>
      </c>
      <c r="U79" s="287">
        <v>4</v>
      </c>
      <c r="V79" s="287">
        <f>$A76</f>
        <v>13</v>
      </c>
      <c r="W79" s="372" t="e">
        <f t="shared" ref="W79:AF79" si="12">F79</f>
        <v>#N/A</v>
      </c>
      <c r="X79" s="372" t="e">
        <f t="shared" si="12"/>
        <v>#N/A</v>
      </c>
      <c r="Y79" s="372" t="e">
        <f t="shared" si="12"/>
        <v>#N/A</v>
      </c>
      <c r="Z79" s="372" t="e">
        <f t="shared" si="12"/>
        <v>#N/A</v>
      </c>
      <c r="AA79" s="372" t="e">
        <f t="shared" si="12"/>
        <v>#N/A</v>
      </c>
      <c r="AB79" s="372" t="e">
        <f t="shared" si="12"/>
        <v>#N/A</v>
      </c>
      <c r="AC79" s="372" t="e">
        <f t="shared" si="12"/>
        <v>#N/A</v>
      </c>
      <c r="AD79" s="372" t="e">
        <f t="shared" si="12"/>
        <v>#N/A</v>
      </c>
      <c r="AE79" s="372" t="e">
        <f t="shared" si="12"/>
        <v>#N/A</v>
      </c>
      <c r="AF79" s="372" t="e">
        <f t="shared" si="12"/>
        <v>#N/A</v>
      </c>
      <c r="AH79" s="231"/>
      <c r="AI79" s="231"/>
      <c r="AJ79" s="404">
        <v>449</v>
      </c>
      <c r="AK79" s="231"/>
    </row>
    <row r="80" spans="1:37" s="280" customFormat="1" x14ac:dyDescent="0.25">
      <c r="A80" s="625"/>
      <c r="B80" s="698"/>
      <c r="C80" s="691"/>
      <c r="D80" s="703"/>
      <c r="E80" s="692" t="s">
        <v>59</v>
      </c>
      <c r="F80" s="698" t="e">
        <f>RANK(F79,$W$19:$W$135,0)</f>
        <v>#N/A</v>
      </c>
      <c r="G80" s="698" t="e">
        <f>RANK(G79,$X$19:$X$135,0)</f>
        <v>#N/A</v>
      </c>
      <c r="H80" s="698" t="e">
        <f>RANK(H79,$Y$19:$Y$135,0)</f>
        <v>#N/A</v>
      </c>
      <c r="I80" s="698" t="e">
        <f>RANK(I79,$Z$19:$Z$135,0)</f>
        <v>#N/A</v>
      </c>
      <c r="J80" s="700" t="e">
        <f>RANK(J79,$AA$19:$AA$110,0)</f>
        <v>#N/A</v>
      </c>
      <c r="K80" s="698" t="e">
        <f>RANK(K79,$AB$19:$AB$109,0)</f>
        <v>#N/A</v>
      </c>
      <c r="L80" s="698" t="e">
        <f>RANK(L79,$AC$19:$AC$115,0)</f>
        <v>#N/A</v>
      </c>
      <c r="M80" s="698" t="e">
        <f>RANK(M79,$AD$19:$AD$135,0)</f>
        <v>#N/A</v>
      </c>
      <c r="N80" s="698" t="e">
        <f>RANK(N79,$AE$19:$AE$135,0)</f>
        <v>#N/A</v>
      </c>
      <c r="O80" s="698" t="e">
        <f>RANK(O79,$AF$19:$AF$109,0)</f>
        <v>#N/A</v>
      </c>
      <c r="P80" s="648"/>
      <c r="Q80" s="701"/>
      <c r="R80" s="411"/>
      <c r="S80" s="675">
        <f>B76</f>
        <v>69</v>
      </c>
      <c r="T80" s="287">
        <f>$A76</f>
        <v>13</v>
      </c>
      <c r="U80" s="287">
        <v>5</v>
      </c>
      <c r="V80" s="287">
        <f>$A76</f>
        <v>13</v>
      </c>
      <c r="W80" s="449"/>
      <c r="X80" s="307"/>
      <c r="Y80" s="307"/>
      <c r="Z80" s="307"/>
      <c r="AA80" s="307"/>
      <c r="AB80" s="307"/>
      <c r="AC80" s="307"/>
      <c r="AD80" s="450"/>
      <c r="AE80" s="450"/>
      <c r="AF80" s="450"/>
      <c r="AH80" s="231"/>
      <c r="AI80" s="231"/>
      <c r="AJ80" s="404">
        <v>449</v>
      </c>
      <c r="AK80" s="231"/>
    </row>
    <row r="81" spans="1:51" s="280" customFormat="1" x14ac:dyDescent="0.35">
      <c r="A81" s="686">
        <v>14</v>
      </c>
      <c r="B81" s="523">
        <v>78</v>
      </c>
      <c r="C81" s="690" t="str">
        <f>VLOOKUP(B81,Уч!$A$2:$L$34,2,FALSE)</f>
        <v>Слаква Максим</v>
      </c>
      <c r="D81" s="528" t="str">
        <f>VLOOKUP(B81,Уч!$A$2:$L$34,3,FALSE)</f>
        <v>10.05.1998</v>
      </c>
      <c r="E81" s="509" t="s">
        <v>19</v>
      </c>
      <c r="F81" s="670">
        <f>VLOOKUP($B81,'100 м 1'!$C$18:$I$87,5,FALSE)</f>
        <v>11.6</v>
      </c>
      <c r="G81" s="670">
        <f>VLOOKUP($B81,'длина 2 '!$C$16:$O$54,11,FALSE)</f>
        <v>6.24</v>
      </c>
      <c r="H81" s="670">
        <f>VLOOKUP($B81,'ядро 2'!$C$16:$K$60,8,FALSE)</f>
        <v>12.27</v>
      </c>
      <c r="I81" s="670">
        <f>VLOOKUP($B81,'высота 2'!$C$16:$AF$57,29,FALSE)</f>
        <v>1.79</v>
      </c>
      <c r="J81" s="671">
        <f>VLOOKUP($B81,'4_р'!$C$17:$H$73,5,FALSE)</f>
        <v>50.5</v>
      </c>
      <c r="K81" s="670">
        <f>VLOOKUP($B81,'1cб_р'!$C$17:$I$67,5,FALSE)</f>
        <v>16.29</v>
      </c>
      <c r="L81" s="670">
        <f>VLOOKUP($B81,Дс_р!$C$16:$K$70,8,FALSE)</f>
        <v>23.43</v>
      </c>
      <c r="M81" s="670">
        <f>VLOOKUP($B81,Ш_р!$C$15:$AF$69,29,FALSE)</f>
        <v>3.9</v>
      </c>
      <c r="N81" s="670">
        <f>VLOOKUP($B81,К_р!$C$15:$K$68,8,FALSE)</f>
        <v>30.29</v>
      </c>
      <c r="O81" s="523" t="str">
        <f>VLOOKUP($B81,'15_р'!$C$17:$H$86,5,FALSE)</f>
        <v>4:51.28</v>
      </c>
      <c r="P81" s="695">
        <f>SUM(F83:O83)</f>
        <v>4688</v>
      </c>
      <c r="Q81" s="522">
        <f>LOOKUP(P81,Y$1:AH$1,Y$2:AH$2)</f>
        <v>2</v>
      </c>
      <c r="R81" s="721">
        <f>AH81+AI81+5</f>
        <v>9</v>
      </c>
      <c r="S81" s="523">
        <f>B81</f>
        <v>78</v>
      </c>
      <c r="T81" s="287">
        <f>$A81</f>
        <v>14</v>
      </c>
      <c r="U81" s="287">
        <v>1</v>
      </c>
      <c r="V81" s="287" t="s">
        <v>162</v>
      </c>
      <c r="W81" s="492"/>
      <c r="X81" s="492"/>
      <c r="Y81" s="492"/>
      <c r="Z81" s="492"/>
      <c r="AA81" s="492"/>
      <c r="AB81" s="492"/>
      <c r="AC81" s="492"/>
      <c r="AD81" s="492"/>
      <c r="AE81" s="492"/>
      <c r="AF81" s="492"/>
      <c r="AG81" s="287"/>
      <c r="AH81" s="280">
        <f>IF(AND(T81&gt;16,P81&gt;=6200),"1",LOOKUP(T81,Y$5:AO$5,Y$6:AO$6))</f>
        <v>4</v>
      </c>
      <c r="AI81" s="280">
        <f>LOOKUP(Q81,Y$8:AD$8,Y$9:AD$9)</f>
        <v>0</v>
      </c>
      <c r="AJ81" s="404">
        <v>319</v>
      </c>
      <c r="AK81" s="231"/>
      <c r="AL81" s="287"/>
      <c r="AM81" s="287"/>
      <c r="AN81" s="287"/>
      <c r="AO81" s="287"/>
    </row>
    <row r="82" spans="1:51" s="280" customFormat="1" x14ac:dyDescent="0.35">
      <c r="A82" s="686"/>
      <c r="B82" s="523"/>
      <c r="C82" s="723" t="str">
        <f>VLOOKUP(B81,Уч!$A$2:$L$34,5,FALSE)</f>
        <v xml:space="preserve">Ставропольский край  </v>
      </c>
      <c r="D82" s="528" t="str">
        <f>VLOOKUP(B81,Уч!$A$2:$L$34,4,FALSE)</f>
        <v>КМС</v>
      </c>
      <c r="E82" s="509" t="s">
        <v>25</v>
      </c>
      <c r="F82" s="672">
        <f>VLOOKUP($B81,'100 м 1'!$C$18:$I$87,6,FALSE)</f>
        <v>0.8</v>
      </c>
      <c r="G82" s="672">
        <f>VLOOKUP($B81,'длина 2 '!$C$16:$O$54,12,FALSE)</f>
        <v>0.3</v>
      </c>
      <c r="H82" s="523"/>
      <c r="I82" s="672"/>
      <c r="J82" s="673"/>
      <c r="K82" s="672">
        <f>VLOOKUP($B81,'1cб_р'!$C$17:$I$67,6,FALSE)</f>
        <v>-1</v>
      </c>
      <c r="L82" s="672"/>
      <c r="M82" s="672"/>
      <c r="N82" s="523"/>
      <c r="O82" s="523"/>
      <c r="P82" s="697"/>
      <c r="Q82" s="677"/>
      <c r="R82" s="721" t="str">
        <f>CONCATENATE(AH81,"+",AI81,"+",5)</f>
        <v>4+0+5</v>
      </c>
      <c r="S82" s="523">
        <f>B81</f>
        <v>78</v>
      </c>
      <c r="T82" s="287">
        <f>$A81</f>
        <v>14</v>
      </c>
      <c r="U82" s="287">
        <v>2</v>
      </c>
      <c r="V82" s="287" t="s">
        <v>162</v>
      </c>
      <c r="W82" s="492"/>
      <c r="X82" s="492"/>
      <c r="Y82" s="492"/>
      <c r="Z82" s="492"/>
      <c r="AA82" s="492"/>
      <c r="AB82" s="492"/>
      <c r="AC82" s="492"/>
      <c r="AD82" s="492"/>
      <c r="AE82" s="492"/>
      <c r="AF82" s="492"/>
      <c r="AG82" s="287"/>
      <c r="AH82" s="231"/>
      <c r="AI82" s="231"/>
      <c r="AJ82" s="404">
        <v>319</v>
      </c>
      <c r="AK82" s="231"/>
      <c r="AL82" s="287"/>
      <c r="AM82" s="287"/>
      <c r="AN82" s="287"/>
      <c r="AO82" s="287"/>
    </row>
    <row r="83" spans="1:51" s="280" customFormat="1" x14ac:dyDescent="0.35">
      <c r="A83" s="686"/>
      <c r="B83" s="523"/>
      <c r="C83" s="724" t="str">
        <f>VLOOKUP(B81,Уч!$A$2:$L$34,7,FALSE)</f>
        <v>ГБУ "СШОР по легкой атлетике"</v>
      </c>
      <c r="D83" s="528"/>
      <c r="E83" s="509" t="s">
        <v>29</v>
      </c>
      <c r="F83" s="523">
        <f>VLOOKUP($B81,'100 м 1'!$C$18:$I$87,7,FALSE)</f>
        <v>732</v>
      </c>
      <c r="G83" s="523">
        <f>VLOOKUP($B81,'длина 2 '!$C$16:$O$54,13,FALSE)</f>
        <v>0</v>
      </c>
      <c r="H83" s="523">
        <f>VLOOKUP($B81,'ядро 2'!$C$16:$K$60,9,FALSE)</f>
        <v>623</v>
      </c>
      <c r="I83" s="523">
        <f>VLOOKUP($B81,'высота 2'!$C$16:$AF$57,30,)</f>
        <v>0</v>
      </c>
      <c r="J83" s="526">
        <f>VLOOKUP($B81,'4_р'!$C$17:$H$73,6,FALSE)</f>
        <v>792</v>
      </c>
      <c r="K83" s="523">
        <f>VLOOKUP($B81,'1cб_р'!$C$17:$I$67,7,FALSE)</f>
        <v>700</v>
      </c>
      <c r="L83" s="523">
        <f>VLOOKUP($B81,Дс_р!$C$16:$K$70,9,FALSE)</f>
        <v>337</v>
      </c>
      <c r="M83" s="523">
        <f>VLOOKUP($B81,Ш_р!$C$15:$AF$69,30,FALSE)</f>
        <v>590</v>
      </c>
      <c r="N83" s="523">
        <f>VLOOKUP($B81,К_р!$C$15:$K$68,9,FALSE)</f>
        <v>303</v>
      </c>
      <c r="O83" s="523">
        <f>VLOOKUP($B81,'15_р'!$C$17:$H$86,6,FALSE)</f>
        <v>611</v>
      </c>
      <c r="P83" s="697"/>
      <c r="Q83" s="678"/>
      <c r="R83" s="697"/>
      <c r="S83" s="523">
        <f>B81</f>
        <v>78</v>
      </c>
      <c r="T83" s="287">
        <f>$A81</f>
        <v>14</v>
      </c>
      <c r="U83" s="287">
        <v>3</v>
      </c>
      <c r="V83" s="287" t="s">
        <v>162</v>
      </c>
      <c r="W83" s="492"/>
      <c r="X83" s="492"/>
      <c r="Y83" s="492"/>
      <c r="Z83" s="492"/>
      <c r="AA83" s="492"/>
      <c r="AB83" s="492"/>
      <c r="AC83" s="492"/>
      <c r="AD83" s="492"/>
      <c r="AE83" s="492"/>
      <c r="AF83" s="492"/>
      <c r="AG83" s="287"/>
      <c r="AH83" s="231"/>
      <c r="AI83" s="231"/>
      <c r="AJ83" s="404">
        <v>319</v>
      </c>
      <c r="AK83" s="231"/>
      <c r="AL83" s="287"/>
      <c r="AM83" s="287"/>
      <c r="AN83" s="287"/>
      <c r="AO83" s="287"/>
    </row>
    <row r="84" spans="1:51" s="280" customFormat="1" x14ac:dyDescent="0.35">
      <c r="A84" s="686"/>
      <c r="B84" s="523"/>
      <c r="C84" s="723" t="str">
        <f>VLOOKUP(B81,Уч!$A$2:$L$34,11,FALSE)</f>
        <v>Мирошниченко В.И., Журавлева Т.В.</v>
      </c>
      <c r="D84" s="528"/>
      <c r="E84" s="509" t="s">
        <v>276</v>
      </c>
      <c r="F84" s="523">
        <f>F83</f>
        <v>732</v>
      </c>
      <c r="G84" s="523">
        <f>F84+G83</f>
        <v>732</v>
      </c>
      <c r="H84" s="523">
        <f>G84+H83</f>
        <v>1355</v>
      </c>
      <c r="I84" s="523">
        <f>H84+I83</f>
        <v>1355</v>
      </c>
      <c r="J84" s="526">
        <f>SUM($F83:J83)</f>
        <v>2147</v>
      </c>
      <c r="K84" s="523">
        <f>SUM($F83:$K83)</f>
        <v>2847</v>
      </c>
      <c r="L84" s="523">
        <f>K84+L83</f>
        <v>3184</v>
      </c>
      <c r="M84" s="523">
        <f>L84+M83</f>
        <v>3774</v>
      </c>
      <c r="N84" s="523">
        <f>SUM($F83:$N83)</f>
        <v>4077</v>
      </c>
      <c r="O84" s="523">
        <f>SUM($F83:$O83)</f>
        <v>4688</v>
      </c>
      <c r="P84" s="697"/>
      <c r="Q84" s="677"/>
      <c r="R84" s="697"/>
      <c r="S84" s="523">
        <f>B81</f>
        <v>78</v>
      </c>
      <c r="T84" s="287">
        <f>$A81</f>
        <v>14</v>
      </c>
      <c r="U84" s="287">
        <v>4</v>
      </c>
      <c r="V84" s="287" t="s">
        <v>162</v>
      </c>
      <c r="W84" s="372">
        <f t="shared" ref="W84:AF84" si="13">F84</f>
        <v>732</v>
      </c>
      <c r="X84" s="372">
        <f t="shared" si="13"/>
        <v>732</v>
      </c>
      <c r="Y84" s="372">
        <f t="shared" si="13"/>
        <v>1355</v>
      </c>
      <c r="Z84" s="372">
        <f t="shared" si="13"/>
        <v>1355</v>
      </c>
      <c r="AA84" s="372">
        <f t="shared" si="13"/>
        <v>2147</v>
      </c>
      <c r="AB84" s="372">
        <f t="shared" si="13"/>
        <v>2847</v>
      </c>
      <c r="AC84" s="372">
        <f t="shared" si="13"/>
        <v>3184</v>
      </c>
      <c r="AD84" s="372">
        <f t="shared" si="13"/>
        <v>3774</v>
      </c>
      <c r="AE84" s="372">
        <f t="shared" si="13"/>
        <v>4077</v>
      </c>
      <c r="AF84" s="372">
        <f t="shared" si="13"/>
        <v>4688</v>
      </c>
      <c r="AG84" s="287"/>
      <c r="AH84" s="231"/>
      <c r="AI84" s="231"/>
      <c r="AJ84" s="404">
        <v>319</v>
      </c>
      <c r="AK84" s="231"/>
      <c r="AL84" s="287"/>
      <c r="AM84" s="287"/>
      <c r="AN84" s="287"/>
      <c r="AO84" s="287"/>
    </row>
    <row r="85" spans="1:51" s="280" customFormat="1" x14ac:dyDescent="0.25">
      <c r="A85" s="625"/>
      <c r="B85" s="698"/>
      <c r="C85" s="615"/>
      <c r="D85" s="699"/>
      <c r="E85" s="692" t="s">
        <v>59</v>
      </c>
      <c r="F85" s="698" t="e">
        <f>RANK(F84,$W$19:$W$135,0)</f>
        <v>#N/A</v>
      </c>
      <c r="G85" s="698" t="e">
        <f>RANK(G84,$X$19:$X$135,0)</f>
        <v>#N/A</v>
      </c>
      <c r="H85" s="698" t="e">
        <f>RANK(H84,$Y$19:$Y$135,0)</f>
        <v>#N/A</v>
      </c>
      <c r="I85" s="698" t="e">
        <f>RANK(I84,$Z$19:$Z$135,0)</f>
        <v>#N/A</v>
      </c>
      <c r="J85" s="700" t="e">
        <f>RANK(J84,$AA$19:$AA$110,0)</f>
        <v>#N/A</v>
      </c>
      <c r="K85" s="698" t="e">
        <f>RANK(K84,$AB$19:$AB$109,0)</f>
        <v>#N/A</v>
      </c>
      <c r="L85" s="698" t="e">
        <f>RANK(L84,$AC$19:$AC$115,0)</f>
        <v>#N/A</v>
      </c>
      <c r="M85" s="698" t="e">
        <f>RANK(M84,$AD$19:$AD$135,0)</f>
        <v>#N/A</v>
      </c>
      <c r="N85" s="698" t="e">
        <f>RANK(N84,$AE$19:$AE$135,0)</f>
        <v>#N/A</v>
      </c>
      <c r="O85" s="698" t="e">
        <f>RANK(O84,$AF$19:$AF$109,0)</f>
        <v>#N/A</v>
      </c>
      <c r="P85" s="705"/>
      <c r="Q85" s="706"/>
      <c r="R85" s="411"/>
      <c r="S85" s="675">
        <f>B81</f>
        <v>78</v>
      </c>
      <c r="T85" s="287">
        <f>$A81</f>
        <v>14</v>
      </c>
      <c r="U85" s="287">
        <v>5</v>
      </c>
      <c r="V85" s="287" t="s">
        <v>162</v>
      </c>
      <c r="W85" s="492"/>
      <c r="X85" s="492"/>
      <c r="Y85" s="492"/>
      <c r="Z85" s="492"/>
      <c r="AA85" s="492"/>
      <c r="AB85" s="492"/>
      <c r="AC85" s="492"/>
      <c r="AD85" s="492"/>
      <c r="AE85" s="492"/>
      <c r="AF85" s="492"/>
      <c r="AG85" s="287"/>
      <c r="AH85" s="231"/>
      <c r="AI85" s="231"/>
      <c r="AJ85" s="404">
        <v>319</v>
      </c>
      <c r="AK85" s="231"/>
      <c r="AL85" s="287"/>
      <c r="AM85" s="287"/>
      <c r="AN85" s="287"/>
      <c r="AO85" s="287"/>
    </row>
    <row r="86" spans="1:51" s="287" customFormat="1" x14ac:dyDescent="0.35">
      <c r="A86" s="686">
        <v>15</v>
      </c>
      <c r="B86" s="523">
        <v>40</v>
      </c>
      <c r="C86" s="690" t="str">
        <f>VLOOKUP(B86,Уч!$A$2:$L$34,2,FALSE)</f>
        <v>Черкасов Алексей</v>
      </c>
      <c r="D86" s="528" t="str">
        <f>VLOOKUP(B86,Уч!$A$2:$L$34,3,FALSE)</f>
        <v>22.10.1994</v>
      </c>
      <c r="E86" s="509" t="s">
        <v>19</v>
      </c>
      <c r="F86" s="670">
        <f>VLOOKUP($B86,'100 м 1'!$C$18:$I$87,5,FALSE)</f>
        <v>11.53</v>
      </c>
      <c r="G86" s="670">
        <f>VLOOKUP($B86,'длина 2 '!$C$16:$O$54,11,FALSE)</f>
        <v>6.24</v>
      </c>
      <c r="H86" s="670">
        <f>VLOOKUP($B86,'ядро 2'!$C$16:$K$60,8,FALSE)</f>
        <v>12.93</v>
      </c>
      <c r="I86" s="670">
        <f>VLOOKUP($B86,'высота 2'!$C$16:$AF$57,29,FALSE)</f>
        <v>1.91</v>
      </c>
      <c r="J86" s="671">
        <f>VLOOKUP($B86,'4_р'!$C$17:$H$73,5,FALSE)</f>
        <v>52.72</v>
      </c>
      <c r="K86" s="670">
        <f>VLOOKUP($B86,'1cб_р'!$C$17:$I$67,5,FALSE)</f>
        <v>15.18</v>
      </c>
      <c r="L86" s="670">
        <f>VLOOKUP($B86,Дс_р!$C$16:$K$70,8,FALSE)</f>
        <v>32.729999999999997</v>
      </c>
      <c r="M86" s="670" t="s">
        <v>349</v>
      </c>
      <c r="N86" s="670">
        <f>VLOOKUP($B86,К_р!$C$15:$K$68,8,FALSE)</f>
        <v>53.68</v>
      </c>
      <c r="O86" s="523" t="str">
        <f>VLOOKUP($B86,'15_р'!$C$17:$H$86,5,FALSE)</f>
        <v>4:56.96</v>
      </c>
      <c r="P86" s="695">
        <f>SUM(F88:O88)</f>
        <v>4669</v>
      </c>
      <c r="Q86" s="522">
        <f>LOOKUP(P86,Y$1:AH$1,Y$2:AH$2)</f>
        <v>2</v>
      </c>
      <c r="R86" s="721">
        <f>AH86+AI86+5</f>
        <v>8</v>
      </c>
      <c r="S86" s="523">
        <f>B86</f>
        <v>40</v>
      </c>
      <c r="T86" s="287">
        <f>$A86</f>
        <v>15</v>
      </c>
      <c r="U86" s="287">
        <v>1</v>
      </c>
      <c r="V86" s="287">
        <f>$A86</f>
        <v>15</v>
      </c>
      <c r="W86" s="449"/>
      <c r="X86" s="307"/>
      <c r="Y86" s="307"/>
      <c r="Z86" s="307"/>
      <c r="AA86" s="307"/>
      <c r="AB86" s="307"/>
      <c r="AC86" s="307"/>
      <c r="AD86" s="450"/>
      <c r="AE86" s="450"/>
      <c r="AF86" s="450"/>
      <c r="AG86" s="280"/>
      <c r="AH86" s="280">
        <f>IF(AND(T86&gt;16,P86&gt;=6200),"1",LOOKUP(T86,Y$5:AO$5,Y$6:AO$6))</f>
        <v>3</v>
      </c>
      <c r="AI86" s="280">
        <f>LOOKUP(Q86,Y$8:AD$8,Y$9:AD$9)</f>
        <v>0</v>
      </c>
      <c r="AJ86" s="404">
        <v>96</v>
      </c>
      <c r="AK86" s="280"/>
      <c r="AL86" s="280"/>
      <c r="AM86" s="280"/>
      <c r="AN86" s="280"/>
      <c r="AO86" s="280"/>
      <c r="AP86" s="280"/>
      <c r="AQ86" s="280"/>
      <c r="AR86" s="280"/>
      <c r="AS86" s="280"/>
      <c r="AT86" s="280"/>
      <c r="AU86" s="280"/>
      <c r="AV86" s="280"/>
      <c r="AW86" s="280"/>
      <c r="AX86" s="280"/>
      <c r="AY86" s="280"/>
    </row>
    <row r="87" spans="1:51" s="287" customFormat="1" x14ac:dyDescent="0.35">
      <c r="A87" s="686"/>
      <c r="B87" s="523"/>
      <c r="C87" s="723" t="str">
        <f>VLOOKUP(B86,Уч!$A$2:$L$34,5,FALSE)</f>
        <v xml:space="preserve">Кемеровская область Санкт-Петербург </v>
      </c>
      <c r="D87" s="528" t="str">
        <f>VLOOKUP(B86,Уч!$A$2:$L$34,4,FALSE)</f>
        <v>МС</v>
      </c>
      <c r="E87" s="509" t="s">
        <v>25</v>
      </c>
      <c r="F87" s="672">
        <f>VLOOKUP($B86,'100 м 1'!$C$18:$I$87,6,FALSE)</f>
        <v>0.8</v>
      </c>
      <c r="G87" s="672">
        <f>VLOOKUP($B86,'длина 2 '!$C$16:$O$54,12,FALSE)</f>
        <v>0.3</v>
      </c>
      <c r="H87" s="523"/>
      <c r="I87" s="672"/>
      <c r="J87" s="673"/>
      <c r="K87" s="672">
        <f>VLOOKUP($B86,'1cб_р'!$C$17:$I$67,6,FALSE)</f>
        <v>-1</v>
      </c>
      <c r="L87" s="672"/>
      <c r="M87" s="672"/>
      <c r="N87" s="523"/>
      <c r="O87" s="523"/>
      <c r="P87" s="695"/>
      <c r="Q87" s="674"/>
      <c r="R87" s="721" t="str">
        <f>CONCATENATE(AH86,"+",AI86,"+",5)</f>
        <v>3+0+5</v>
      </c>
      <c r="S87" s="523">
        <f>B86</f>
        <v>40</v>
      </c>
      <c r="T87" s="287">
        <f>$A86</f>
        <v>15</v>
      </c>
      <c r="U87" s="287">
        <v>2</v>
      </c>
      <c r="V87" s="287">
        <f>$A86</f>
        <v>15</v>
      </c>
      <c r="W87" s="449"/>
      <c r="X87" s="307"/>
      <c r="Y87" s="307"/>
      <c r="Z87" s="307"/>
      <c r="AA87" s="307"/>
      <c r="AB87" s="307"/>
      <c r="AC87" s="307"/>
      <c r="AD87" s="450"/>
      <c r="AE87" s="450"/>
      <c r="AF87" s="450"/>
      <c r="AG87" s="280"/>
      <c r="AH87" s="231"/>
      <c r="AI87" s="231"/>
      <c r="AJ87" s="404">
        <v>96</v>
      </c>
      <c r="AK87" s="231"/>
      <c r="AL87" s="280"/>
      <c r="AM87" s="280"/>
      <c r="AN87" s="280"/>
      <c r="AO87" s="280"/>
      <c r="AP87" s="280"/>
      <c r="AQ87" s="280"/>
      <c r="AR87" s="280"/>
      <c r="AS87" s="280"/>
      <c r="AT87" s="280"/>
      <c r="AU87" s="280"/>
      <c r="AV87" s="280"/>
      <c r="AW87" s="280"/>
      <c r="AX87" s="280"/>
      <c r="AY87" s="280"/>
    </row>
    <row r="88" spans="1:51" s="287" customFormat="1" x14ac:dyDescent="0.35">
      <c r="A88" s="686"/>
      <c r="B88" s="523"/>
      <c r="C88" s="724" t="str">
        <f>VLOOKUP(B86,Уч!$A$2:$L$34,7,FALSE)</f>
        <v>МА ФСУ «СШОР по легкой атлетике», ГАУ КО "ЦП ССК", СПб ГБУ ЦОП "ШВСМ по легкой атлетике"</v>
      </c>
      <c r="D88" s="528"/>
      <c r="E88" s="509" t="s">
        <v>29</v>
      </c>
      <c r="F88" s="523">
        <f>VLOOKUP($B86,'100 м 1'!$C$18:$I$87,7,FALSE)</f>
        <v>746</v>
      </c>
      <c r="G88" s="523">
        <f>VLOOKUP($B86,'длина 2 '!$C$16:$O$54,13,FALSE)</f>
        <v>0</v>
      </c>
      <c r="H88" s="523">
        <f>VLOOKUP($B86,'ядро 2'!$C$16:$K$60,9,FALSE)</f>
        <v>663</v>
      </c>
      <c r="I88" s="523">
        <f>VLOOKUP($B86,'высота 2'!$C$16:$AF$57,30,)</f>
        <v>0</v>
      </c>
      <c r="J88" s="526">
        <f>VLOOKUP($B86,'4_р'!$C$17:$H$73,6,FALSE)</f>
        <v>694</v>
      </c>
      <c r="K88" s="523">
        <f>VLOOKUP($B86,'1cб_р'!$C$17:$I$67,7,FALSE)</f>
        <v>828</v>
      </c>
      <c r="L88" s="523">
        <f>VLOOKUP($B86,Дс_р!$C$16:$K$70,9,FALSE)</f>
        <v>518</v>
      </c>
      <c r="M88" s="523">
        <f>VLOOKUP($B86,Ш_р!$C$15:$AF$69,30,FALSE)</f>
        <v>0</v>
      </c>
      <c r="N88" s="523">
        <f>VLOOKUP($B86,К_р!$C$15:$K$68,9,FALSE)</f>
        <v>643</v>
      </c>
      <c r="O88" s="523">
        <f>VLOOKUP($B86,'15_р'!$C$17:$H$86,6,FALSE)</f>
        <v>577</v>
      </c>
      <c r="P88" s="695"/>
      <c r="Q88" s="674"/>
      <c r="R88" s="697"/>
      <c r="S88" s="523">
        <f>B86</f>
        <v>40</v>
      </c>
      <c r="T88" s="287">
        <f>$A86</f>
        <v>15</v>
      </c>
      <c r="U88" s="287">
        <v>3</v>
      </c>
      <c r="V88" s="287">
        <f>$A86</f>
        <v>15</v>
      </c>
      <c r="W88" s="449"/>
      <c r="X88" s="307"/>
      <c r="Y88" s="307"/>
      <c r="Z88" s="307"/>
      <c r="AA88" s="307"/>
      <c r="AB88" s="307"/>
      <c r="AC88" s="307"/>
      <c r="AD88" s="450"/>
      <c r="AE88" s="450"/>
      <c r="AF88" s="450"/>
      <c r="AG88" s="280"/>
      <c r="AH88" s="231"/>
      <c r="AI88" s="231"/>
      <c r="AJ88" s="404">
        <v>96</v>
      </c>
      <c r="AK88" s="231"/>
      <c r="AL88" s="280"/>
      <c r="AM88" s="280"/>
      <c r="AN88" s="280"/>
      <c r="AO88" s="280"/>
      <c r="AP88" s="280"/>
      <c r="AQ88" s="280"/>
      <c r="AR88" s="280"/>
      <c r="AS88" s="280"/>
      <c r="AT88" s="280"/>
      <c r="AU88" s="280"/>
      <c r="AV88" s="280"/>
      <c r="AW88" s="280"/>
      <c r="AX88" s="280"/>
      <c r="AY88" s="280"/>
    </row>
    <row r="89" spans="1:51" s="287" customFormat="1" x14ac:dyDescent="0.35">
      <c r="A89" s="686"/>
      <c r="B89" s="523"/>
      <c r="C89" s="723" t="str">
        <f>VLOOKUP(B86,Уч!$A$2:$L$34,11,FALSE)</f>
        <v>Залевская И.И., Овчинников Ю.В., Полосухин К.А.</v>
      </c>
      <c r="D89" s="528"/>
      <c r="E89" s="509" t="s">
        <v>276</v>
      </c>
      <c r="F89" s="523">
        <f>F88</f>
        <v>746</v>
      </c>
      <c r="G89" s="523">
        <f>F89+G88</f>
        <v>746</v>
      </c>
      <c r="H89" s="523">
        <f>G89+H88</f>
        <v>1409</v>
      </c>
      <c r="I89" s="523">
        <f>H89+I88</f>
        <v>1409</v>
      </c>
      <c r="J89" s="526">
        <f>SUM($F88:J88)</f>
        <v>2103</v>
      </c>
      <c r="K89" s="523">
        <f>SUM($F88:$K88)</f>
        <v>2931</v>
      </c>
      <c r="L89" s="523">
        <f>K89+L88</f>
        <v>3449</v>
      </c>
      <c r="M89" s="523">
        <f>L89+M88</f>
        <v>3449</v>
      </c>
      <c r="N89" s="523">
        <f>SUM($F88:$N88)</f>
        <v>4092</v>
      </c>
      <c r="O89" s="523">
        <f>SUM($F88:$O88)</f>
        <v>4669</v>
      </c>
      <c r="P89" s="695"/>
      <c r="Q89" s="674"/>
      <c r="R89" s="697"/>
      <c r="S89" s="523">
        <f>B86</f>
        <v>40</v>
      </c>
      <c r="T89" s="287">
        <f>$A86</f>
        <v>15</v>
      </c>
      <c r="U89" s="287">
        <v>4</v>
      </c>
      <c r="V89" s="287">
        <f>$A86</f>
        <v>15</v>
      </c>
      <c r="W89" s="372">
        <f t="shared" ref="W89:AF89" si="14">F89</f>
        <v>746</v>
      </c>
      <c r="X89" s="372">
        <f t="shared" si="14"/>
        <v>746</v>
      </c>
      <c r="Y89" s="372">
        <f t="shared" si="14"/>
        <v>1409</v>
      </c>
      <c r="Z89" s="372">
        <f t="shared" si="14"/>
        <v>1409</v>
      </c>
      <c r="AA89" s="372">
        <f t="shared" si="14"/>
        <v>2103</v>
      </c>
      <c r="AB89" s="372">
        <f t="shared" si="14"/>
        <v>2931</v>
      </c>
      <c r="AC89" s="372">
        <f t="shared" si="14"/>
        <v>3449</v>
      </c>
      <c r="AD89" s="372">
        <f t="shared" si="14"/>
        <v>3449</v>
      </c>
      <c r="AE89" s="372">
        <f t="shared" si="14"/>
        <v>4092</v>
      </c>
      <c r="AF89" s="372">
        <f t="shared" si="14"/>
        <v>4669</v>
      </c>
      <c r="AG89" s="280"/>
      <c r="AH89" s="231"/>
      <c r="AI89" s="231"/>
      <c r="AJ89" s="404">
        <v>96</v>
      </c>
      <c r="AK89" s="231"/>
      <c r="AL89" s="280"/>
      <c r="AM89" s="280"/>
      <c r="AN89" s="280"/>
      <c r="AO89" s="280"/>
      <c r="AP89" s="280"/>
      <c r="AQ89" s="280"/>
      <c r="AR89" s="280"/>
      <c r="AS89" s="280"/>
      <c r="AT89" s="280"/>
      <c r="AU89" s="280"/>
      <c r="AV89" s="280"/>
      <c r="AW89" s="280"/>
      <c r="AX89" s="280"/>
      <c r="AY89" s="280"/>
    </row>
    <row r="90" spans="1:51" s="287" customFormat="1" x14ac:dyDescent="0.25">
      <c r="A90" s="625"/>
      <c r="B90" s="698"/>
      <c r="C90" s="615"/>
      <c r="D90" s="699"/>
      <c r="E90" s="692" t="s">
        <v>59</v>
      </c>
      <c r="F90" s="698" t="e">
        <f>RANK(F89,$W$19:$W$135,0)</f>
        <v>#N/A</v>
      </c>
      <c r="G90" s="698" t="e">
        <f>RANK(G89,$X$19:$X$135,0)</f>
        <v>#N/A</v>
      </c>
      <c r="H90" s="698" t="e">
        <f>RANK(H89,$Y$19:$Y$135,0)</f>
        <v>#N/A</v>
      </c>
      <c r="I90" s="698" t="e">
        <f>RANK(I89,$Z$19:$Z$135,0)</f>
        <v>#N/A</v>
      </c>
      <c r="J90" s="700" t="e">
        <f>RANK(J89,$AA$19:$AA$110,0)</f>
        <v>#N/A</v>
      </c>
      <c r="K90" s="698" t="e">
        <f>RANK(K89,$AB$19:$AB$109,0)</f>
        <v>#N/A</v>
      </c>
      <c r="L90" s="698" t="e">
        <f>RANK(L89,$AC$19:$AC$115,0)</f>
        <v>#N/A</v>
      </c>
      <c r="M90" s="698" t="e">
        <f>RANK(M89,$AD$19:$AD$135,0)</f>
        <v>#N/A</v>
      </c>
      <c r="N90" s="698" t="e">
        <f>RANK(N89,$AE$19:$AE$135,0)</f>
        <v>#N/A</v>
      </c>
      <c r="O90" s="698" t="e">
        <f>RANK(O89,$AF$19:$AF$109,0)</f>
        <v>#N/A</v>
      </c>
      <c r="P90" s="648"/>
      <c r="Q90" s="701"/>
      <c r="R90" s="411"/>
      <c r="S90" s="675">
        <f>B86</f>
        <v>40</v>
      </c>
      <c r="T90" s="287">
        <f>$A86</f>
        <v>15</v>
      </c>
      <c r="U90" s="287">
        <v>5</v>
      </c>
      <c r="V90" s="287">
        <f>$A86</f>
        <v>15</v>
      </c>
      <c r="W90" s="449"/>
      <c r="X90" s="307"/>
      <c r="Y90" s="307"/>
      <c r="Z90" s="307"/>
      <c r="AA90" s="307"/>
      <c r="AB90" s="307"/>
      <c r="AC90" s="307"/>
      <c r="AD90" s="450"/>
      <c r="AE90" s="450"/>
      <c r="AF90" s="450"/>
      <c r="AG90" s="280"/>
      <c r="AH90" s="231"/>
      <c r="AI90" s="231"/>
      <c r="AJ90" s="404">
        <v>96</v>
      </c>
      <c r="AK90" s="231"/>
      <c r="AL90" s="280"/>
      <c r="AM90" s="280"/>
      <c r="AN90" s="280"/>
      <c r="AO90" s="280"/>
      <c r="AP90" s="280"/>
      <c r="AQ90" s="280"/>
      <c r="AR90" s="280"/>
      <c r="AS90" s="280"/>
      <c r="AT90" s="280"/>
      <c r="AU90" s="280"/>
      <c r="AV90" s="280"/>
      <c r="AW90" s="280"/>
      <c r="AX90" s="280"/>
      <c r="AY90" s="280"/>
    </row>
    <row r="91" spans="1:51" s="280" customFormat="1" x14ac:dyDescent="0.35">
      <c r="A91" s="686">
        <v>16</v>
      </c>
      <c r="B91" s="523">
        <v>70</v>
      </c>
      <c r="C91" s="690" t="e">
        <f>VLOOKUP(B91,Уч!$A$2:$L$34,2,FALSE)</f>
        <v>#N/A</v>
      </c>
      <c r="D91" s="528" t="e">
        <f>VLOOKUP(B91,Уч!$A$2:$L$34,3,FALSE)</f>
        <v>#N/A</v>
      </c>
      <c r="E91" s="509" t="s">
        <v>19</v>
      </c>
      <c r="F91" s="670" t="e">
        <f>VLOOKUP($B91,'100 м 1'!$C$18:$I$87,5,FALSE)</f>
        <v>#N/A</v>
      </c>
      <c r="G91" s="670" t="e">
        <f>VLOOKUP($B91,'длина 2 '!$C$16:$O$54,11,FALSE)</f>
        <v>#N/A</v>
      </c>
      <c r="H91" s="670" t="e">
        <f>VLOOKUP($B91,'ядро 2'!$C$16:$K$60,8,FALSE)</f>
        <v>#N/A</v>
      </c>
      <c r="I91" s="670" t="e">
        <f>VLOOKUP($B91,'высота 2'!$C$16:$AF$57,29,FALSE)</f>
        <v>#N/A</v>
      </c>
      <c r="J91" s="671">
        <f>VLOOKUP($B91,'4_р'!$C$17:$H$73,5,FALSE)</f>
        <v>49.18</v>
      </c>
      <c r="K91" s="670">
        <f>VLOOKUP($B91,'1cб_р'!$C$17:$I$67,5,FALSE)</f>
        <v>15.24</v>
      </c>
      <c r="L91" s="670">
        <f>VLOOKUP($B91,Дс_р!$C$16:$K$70,8,FALSE)</f>
        <v>28.5</v>
      </c>
      <c r="M91" s="670" t="s">
        <v>349</v>
      </c>
      <c r="N91" s="670">
        <f>VLOOKUP($B91,К_р!$C$15:$K$68,8,FALSE)</f>
        <v>36.11</v>
      </c>
      <c r="O91" s="523" t="str">
        <f>VLOOKUP($B91,'15_р'!$C$17:$H$86,5,FALSE)</f>
        <v>4:33.36</v>
      </c>
      <c r="P91" s="695" t="e">
        <f>SUM(F93:O93)</f>
        <v>#N/A</v>
      </c>
      <c r="Q91" s="522" t="e">
        <f>LOOKUP(P91,Y$1:AH$1,Y$2:AH$2)</f>
        <v>#N/A</v>
      </c>
      <c r="R91" s="721" t="e">
        <f>AH91+AI91+5</f>
        <v>#N/A</v>
      </c>
      <c r="S91" s="523">
        <f>B91</f>
        <v>70</v>
      </c>
      <c r="T91" s="287">
        <f>$A91</f>
        <v>16</v>
      </c>
      <c r="U91" s="287">
        <v>1</v>
      </c>
      <c r="V91" s="287">
        <f>$A91</f>
        <v>16</v>
      </c>
      <c r="W91" s="449"/>
      <c r="X91" s="307"/>
      <c r="Y91" s="307"/>
      <c r="Z91" s="307"/>
      <c r="AA91" s="307"/>
      <c r="AB91" s="307"/>
      <c r="AC91" s="307"/>
      <c r="AD91" s="450"/>
      <c r="AE91" s="450"/>
      <c r="AF91" s="450"/>
      <c r="AH91" s="280" t="e">
        <f>IF(AND(T91&gt;16,P91&gt;=6200),"1",LOOKUP(T91,Y$5:AO$5,Y$6:AO$6))</f>
        <v>#N/A</v>
      </c>
      <c r="AI91" s="280" t="e">
        <f>LOOKUP(Q91,Y$8:AD$8,Y$9:AD$9)</f>
        <v>#N/A</v>
      </c>
      <c r="AJ91" s="404">
        <v>505</v>
      </c>
      <c r="AK91" s="231"/>
    </row>
    <row r="92" spans="1:51" s="280" customFormat="1" x14ac:dyDescent="0.35">
      <c r="A92" s="686"/>
      <c r="B92" s="523"/>
      <c r="C92" s="723" t="e">
        <f>VLOOKUP(B91,Уч!$A$2:$L$34,5,FALSE)</f>
        <v>#N/A</v>
      </c>
      <c r="D92" s="528" t="e">
        <f>VLOOKUP(B91,Уч!$A$2:$L$34,4,FALSE)</f>
        <v>#N/A</v>
      </c>
      <c r="E92" s="509" t="s">
        <v>25</v>
      </c>
      <c r="F92" s="672" t="e">
        <f>VLOOKUP($B91,'100 м 1'!$C$18:$I$87,6,FALSE)</f>
        <v>#N/A</v>
      </c>
      <c r="G92" s="672" t="e">
        <f>VLOOKUP($B91,'длина 2 '!$C$16:$O$54,12,FALSE)</f>
        <v>#N/A</v>
      </c>
      <c r="H92" s="523"/>
      <c r="I92" s="672"/>
      <c r="J92" s="673"/>
      <c r="K92" s="672">
        <f>VLOOKUP($B91,'1cб_р'!$C$17:$I$67,6,FALSE)</f>
        <v>-1.5</v>
      </c>
      <c r="L92" s="672"/>
      <c r="M92" s="672"/>
      <c r="N92" s="523"/>
      <c r="O92" s="523"/>
      <c r="P92" s="695"/>
      <c r="Q92" s="674"/>
      <c r="R92" s="721" t="e">
        <f>CONCATENATE(AH91,"+",AI91,"+",5)</f>
        <v>#N/A</v>
      </c>
      <c r="S92" s="523">
        <f>B91</f>
        <v>70</v>
      </c>
      <c r="T92" s="287">
        <f>$A91</f>
        <v>16</v>
      </c>
      <c r="U92" s="287">
        <v>2</v>
      </c>
      <c r="V92" s="287">
        <f>$A91</f>
        <v>16</v>
      </c>
      <c r="W92" s="449"/>
      <c r="X92" s="307"/>
      <c r="Y92" s="307"/>
      <c r="Z92" s="307"/>
      <c r="AA92" s="307"/>
      <c r="AB92" s="307"/>
      <c r="AC92" s="307"/>
      <c r="AD92" s="450"/>
      <c r="AE92" s="450"/>
      <c r="AF92" s="450"/>
      <c r="AH92" s="231"/>
      <c r="AI92" s="231"/>
      <c r="AJ92" s="404">
        <v>505</v>
      </c>
      <c r="AK92" s="231"/>
    </row>
    <row r="93" spans="1:51" s="280" customFormat="1" x14ac:dyDescent="0.35">
      <c r="A93" s="686"/>
      <c r="B93" s="523"/>
      <c r="C93" s="724" t="e">
        <f>VLOOKUP(B91,Уч!$A$2:$L$34,7,FALSE)</f>
        <v>#N/A</v>
      </c>
      <c r="D93" s="528"/>
      <c r="E93" s="509" t="s">
        <v>29</v>
      </c>
      <c r="F93" s="523" t="e">
        <f>VLOOKUP($B91,'100 м 1'!$C$18:$I$87,7,FALSE)</f>
        <v>#N/A</v>
      </c>
      <c r="G93" s="523" t="e">
        <f>VLOOKUP($B91,'длина 2 '!$C$16:$O$54,13,FALSE)</f>
        <v>#N/A</v>
      </c>
      <c r="H93" s="523" t="e">
        <f>VLOOKUP($B91,'ядро 2'!$C$16:$K$60,9,FALSE)</f>
        <v>#N/A</v>
      </c>
      <c r="I93" s="523" t="e">
        <f>VLOOKUP($B91,'высота 2'!$C$16:$AF$57,30,)</f>
        <v>#N/A</v>
      </c>
      <c r="J93" s="526">
        <f>VLOOKUP($B91,'4_р'!$C$17:$H$73,6,FALSE)</f>
        <v>853</v>
      </c>
      <c r="K93" s="523">
        <f>VLOOKUP($B91,'1cб_р'!$C$17:$I$67,7,FALSE)</f>
        <v>821</v>
      </c>
      <c r="L93" s="523">
        <f>VLOOKUP($B91,Дс_р!$C$16:$K$70,9,FALSE)</f>
        <v>435</v>
      </c>
      <c r="M93" s="523">
        <f>VLOOKUP($B91,Ш_р!$C$15:$AF$69,30,FALSE)</f>
        <v>0</v>
      </c>
      <c r="N93" s="523">
        <f>VLOOKUP($B91,К_р!$C$15:$K$68,9,FALSE)</f>
        <v>386</v>
      </c>
      <c r="O93" s="523">
        <f>VLOOKUP($B91,'15_р'!$C$17:$H$86,6,FALSE)</f>
        <v>723</v>
      </c>
      <c r="P93" s="695"/>
      <c r="Q93" s="650"/>
      <c r="R93" s="697"/>
      <c r="S93" s="523">
        <f>B91</f>
        <v>70</v>
      </c>
      <c r="T93" s="287">
        <f>$A91</f>
        <v>16</v>
      </c>
      <c r="U93" s="287">
        <v>3</v>
      </c>
      <c r="V93" s="287">
        <f>$A91</f>
        <v>16</v>
      </c>
      <c r="W93" s="449"/>
      <c r="X93" s="307"/>
      <c r="Y93" s="307"/>
      <c r="Z93" s="307"/>
      <c r="AA93" s="307"/>
      <c r="AB93" s="307"/>
      <c r="AC93" s="307"/>
      <c r="AD93" s="450"/>
      <c r="AE93" s="450"/>
      <c r="AF93" s="450"/>
      <c r="AH93" s="231"/>
      <c r="AI93" s="231"/>
      <c r="AJ93" s="404">
        <v>505</v>
      </c>
      <c r="AK93" s="231"/>
    </row>
    <row r="94" spans="1:51" s="280" customFormat="1" x14ac:dyDescent="0.35">
      <c r="A94" s="686"/>
      <c r="B94" s="523"/>
      <c r="C94" s="723" t="e">
        <f>VLOOKUP(B91,Уч!$A$2:$L$34,11,FALSE)</f>
        <v>#N/A</v>
      </c>
      <c r="D94" s="528"/>
      <c r="E94" s="509" t="s">
        <v>276</v>
      </c>
      <c r="F94" s="523" t="e">
        <f>F93</f>
        <v>#N/A</v>
      </c>
      <c r="G94" s="523" t="e">
        <f>F94+G93</f>
        <v>#N/A</v>
      </c>
      <c r="H94" s="523" t="e">
        <f>G94+H93</f>
        <v>#N/A</v>
      </c>
      <c r="I94" s="523" t="e">
        <f>H94+I93</f>
        <v>#N/A</v>
      </c>
      <c r="J94" s="526" t="e">
        <f>SUM($F93:J93)</f>
        <v>#N/A</v>
      </c>
      <c r="K94" s="523" t="e">
        <f>SUM($F93:$K93)</f>
        <v>#N/A</v>
      </c>
      <c r="L94" s="523" t="e">
        <f>K94+L93</f>
        <v>#N/A</v>
      </c>
      <c r="M94" s="523" t="e">
        <f>L94+M93</f>
        <v>#N/A</v>
      </c>
      <c r="N94" s="523" t="e">
        <f>SUM($F93:$N93)</f>
        <v>#N/A</v>
      </c>
      <c r="O94" s="523" t="e">
        <f>SUM($F93:$O93)</f>
        <v>#N/A</v>
      </c>
      <c r="P94" s="695"/>
      <c r="Q94" s="650"/>
      <c r="R94" s="697"/>
      <c r="S94" s="523">
        <f>B91</f>
        <v>70</v>
      </c>
      <c r="T94" s="287">
        <f>$A91</f>
        <v>16</v>
      </c>
      <c r="U94" s="287">
        <v>4</v>
      </c>
      <c r="V94" s="287">
        <f>$A91</f>
        <v>16</v>
      </c>
      <c r="W94" s="372" t="e">
        <f t="shared" ref="W94:AF94" si="15">F94</f>
        <v>#N/A</v>
      </c>
      <c r="X94" s="372" t="e">
        <f t="shared" si="15"/>
        <v>#N/A</v>
      </c>
      <c r="Y94" s="372" t="e">
        <f t="shared" si="15"/>
        <v>#N/A</v>
      </c>
      <c r="Z94" s="372" t="e">
        <f t="shared" si="15"/>
        <v>#N/A</v>
      </c>
      <c r="AA94" s="372" t="e">
        <f t="shared" si="15"/>
        <v>#N/A</v>
      </c>
      <c r="AB94" s="372" t="e">
        <f t="shared" si="15"/>
        <v>#N/A</v>
      </c>
      <c r="AC94" s="372" t="e">
        <f t="shared" si="15"/>
        <v>#N/A</v>
      </c>
      <c r="AD94" s="372" t="e">
        <f t="shared" si="15"/>
        <v>#N/A</v>
      </c>
      <c r="AE94" s="372" t="e">
        <f t="shared" si="15"/>
        <v>#N/A</v>
      </c>
      <c r="AF94" s="372" t="e">
        <f t="shared" si="15"/>
        <v>#N/A</v>
      </c>
      <c r="AH94" s="231"/>
      <c r="AI94" s="231"/>
      <c r="AJ94" s="404">
        <v>505</v>
      </c>
      <c r="AK94" s="231"/>
    </row>
    <row r="95" spans="1:51" s="280" customFormat="1" x14ac:dyDescent="0.25">
      <c r="A95" s="625"/>
      <c r="B95" s="698"/>
      <c r="C95" s="691"/>
      <c r="D95" s="699"/>
      <c r="E95" s="692" t="s">
        <v>59</v>
      </c>
      <c r="F95" s="698" t="e">
        <f>RANK(F94,$W$19:$W$135,0)</f>
        <v>#N/A</v>
      </c>
      <c r="G95" s="698" t="e">
        <f>RANK(G94,$X$19:$X$135,0)</f>
        <v>#N/A</v>
      </c>
      <c r="H95" s="698" t="e">
        <f>RANK(H94,$Y$19:$Y$135,0)</f>
        <v>#N/A</v>
      </c>
      <c r="I95" s="698" t="e">
        <f>RANK(I94,$Z$19:$Z$135,0)</f>
        <v>#N/A</v>
      </c>
      <c r="J95" s="700" t="e">
        <f>RANK(J94,$AA$19:$AA$110,0)</f>
        <v>#N/A</v>
      </c>
      <c r="K95" s="698" t="e">
        <f>RANK(K94,$AB$19:$AB$109,0)</f>
        <v>#N/A</v>
      </c>
      <c r="L95" s="698" t="e">
        <f>RANK(L94,$AC$19:$AC$115,0)</f>
        <v>#N/A</v>
      </c>
      <c r="M95" s="698" t="e">
        <f>RANK(M94,$AD$19:$AD$135,0)</f>
        <v>#N/A</v>
      </c>
      <c r="N95" s="698" t="e">
        <f>RANK(N94,$AE$19:$AE$135,0)</f>
        <v>#N/A</v>
      </c>
      <c r="O95" s="698" t="e">
        <f>RANK(O94,$AF$19:$AF$109,0)</f>
        <v>#N/A</v>
      </c>
      <c r="P95" s="648"/>
      <c r="Q95" s="701"/>
      <c r="R95" s="411"/>
      <c r="S95" s="675">
        <f>B91</f>
        <v>70</v>
      </c>
      <c r="T95" s="287">
        <f>$A91</f>
        <v>16</v>
      </c>
      <c r="U95" s="287">
        <v>5</v>
      </c>
      <c r="V95" s="287">
        <f>$A91</f>
        <v>16</v>
      </c>
      <c r="W95" s="449"/>
      <c r="X95" s="307"/>
      <c r="Y95" s="307"/>
      <c r="Z95" s="307"/>
      <c r="AA95" s="307"/>
      <c r="AB95" s="307"/>
      <c r="AC95" s="307"/>
      <c r="AD95" s="450"/>
      <c r="AE95" s="450"/>
      <c r="AF95" s="450"/>
      <c r="AH95" s="231"/>
      <c r="AI95" s="231"/>
      <c r="AJ95" s="404">
        <v>505</v>
      </c>
      <c r="AK95" s="231"/>
    </row>
    <row r="96" spans="1:51" s="280" customFormat="1" x14ac:dyDescent="0.35">
      <c r="A96" s="686">
        <v>17</v>
      </c>
      <c r="B96" s="523">
        <v>68</v>
      </c>
      <c r="C96" s="690" t="e">
        <f>VLOOKUP(B96,Уч!$A$2:$L$34,2,FALSE)</f>
        <v>#N/A</v>
      </c>
      <c r="D96" s="528" t="e">
        <f>VLOOKUP(B96,Уч!$A$2:$L$34,3,FALSE)</f>
        <v>#N/A</v>
      </c>
      <c r="E96" s="509" t="s">
        <v>19</v>
      </c>
      <c r="F96" s="670" t="e">
        <f>VLOOKUP($B96,'100 м 1'!$C$18:$I$87,5,FALSE)</f>
        <v>#N/A</v>
      </c>
      <c r="G96" s="670" t="e">
        <f>VLOOKUP($B96,'длина 2 '!$C$16:$O$54,11,FALSE)</f>
        <v>#N/A</v>
      </c>
      <c r="H96" s="670" t="e">
        <f>VLOOKUP($B96,'ядро 2'!$C$16:$K$60,8,FALSE)</f>
        <v>#N/A</v>
      </c>
      <c r="I96" s="670" t="e">
        <f>VLOOKUP($B96,'высота 2'!$C$16:$AF$57,29,FALSE)</f>
        <v>#N/A</v>
      </c>
      <c r="J96" s="671" t="s">
        <v>337</v>
      </c>
      <c r="K96" s="670" t="s">
        <v>346</v>
      </c>
      <c r="L96" s="670">
        <f>VLOOKUP($B96,Дс_р!$C$16:$K$70,8,FALSE)</f>
        <v>43.32</v>
      </c>
      <c r="M96" s="670">
        <f>VLOOKUP($B96,Ш_р!$C$15:$AF$69,29,FALSE)</f>
        <v>4.5999999999999996</v>
      </c>
      <c r="N96" s="670">
        <f>VLOOKUP($B96,К_р!$C$15:$K$68,8,FALSE)</f>
        <v>51.33</v>
      </c>
      <c r="O96" s="523" t="str">
        <f>VLOOKUP($B96,'15_р'!$C$17:$H$86,5,FALSE)</f>
        <v>4:42.73</v>
      </c>
      <c r="P96" s="695" t="e">
        <f>SUM(F98:O98)</f>
        <v>#N/A</v>
      </c>
      <c r="Q96" s="522" t="e">
        <f>LOOKUP(P96,Y$1:AH$1,Y$2:AH$2)</f>
        <v>#N/A</v>
      </c>
      <c r="R96" s="694" t="e">
        <f>AH96+AI96+5</f>
        <v>#N/A</v>
      </c>
      <c r="S96" s="523">
        <f>B96</f>
        <v>68</v>
      </c>
      <c r="T96" s="287">
        <f>$A96</f>
        <v>17</v>
      </c>
      <c r="U96" s="287">
        <v>1</v>
      </c>
      <c r="V96" s="287" t="s">
        <v>162</v>
      </c>
      <c r="W96" s="492"/>
      <c r="X96" s="492"/>
      <c r="Y96" s="492"/>
      <c r="Z96" s="492"/>
      <c r="AA96" s="492"/>
      <c r="AB96" s="492"/>
      <c r="AC96" s="492"/>
      <c r="AD96" s="492"/>
      <c r="AE96" s="492"/>
      <c r="AF96" s="492"/>
      <c r="AG96" s="287"/>
      <c r="AH96" s="280">
        <v>11</v>
      </c>
      <c r="AI96" s="280" t="e">
        <f>LOOKUP(Q96,Y$8:AD$8,Y$9:AD$9)</f>
        <v>#N/A</v>
      </c>
      <c r="AJ96" s="404">
        <v>319</v>
      </c>
      <c r="AK96" s="231"/>
    </row>
    <row r="97" spans="1:37" s="280" customFormat="1" x14ac:dyDescent="0.35">
      <c r="A97" s="686"/>
      <c r="B97" s="523"/>
      <c r="C97" s="723" t="e">
        <f>VLOOKUP(B96,Уч!$A$2:$L$34,5,FALSE)</f>
        <v>#N/A</v>
      </c>
      <c r="D97" s="525" t="e">
        <f>VLOOKUP(B96,Уч!$A$2:$L$34,4,FALSE)</f>
        <v>#N/A</v>
      </c>
      <c r="E97" s="509" t="s">
        <v>25</v>
      </c>
      <c r="F97" s="672" t="e">
        <f>VLOOKUP($B96,'100 м 1'!$C$18:$I$87,6,FALSE)</f>
        <v>#N/A</v>
      </c>
      <c r="G97" s="672" t="e">
        <f>VLOOKUP($B96,'длина 2 '!$C$16:$O$54,12,FALSE)</f>
        <v>#N/A</v>
      </c>
      <c r="H97" s="523"/>
      <c r="I97" s="672"/>
      <c r="J97" s="679"/>
      <c r="K97" s="672"/>
      <c r="L97" s="672"/>
      <c r="M97" s="672"/>
      <c r="N97" s="523"/>
      <c r="O97" s="523"/>
      <c r="P97" s="697"/>
      <c r="Q97" s="677"/>
      <c r="R97" s="694" t="e">
        <f>CONCATENATE(AH96,"+",AI96,"+",5)</f>
        <v>#N/A</v>
      </c>
      <c r="S97" s="523">
        <f>B96</f>
        <v>68</v>
      </c>
      <c r="T97" s="287">
        <f>$A96</f>
        <v>17</v>
      </c>
      <c r="U97" s="287">
        <v>2</v>
      </c>
      <c r="V97" s="287" t="s">
        <v>162</v>
      </c>
      <c r="W97" s="492"/>
      <c r="X97" s="492"/>
      <c r="Y97" s="492"/>
      <c r="Z97" s="492"/>
      <c r="AA97" s="492"/>
      <c r="AB97" s="492"/>
      <c r="AC97" s="492"/>
      <c r="AD97" s="492"/>
      <c r="AE97" s="492"/>
      <c r="AF97" s="492"/>
      <c r="AG97" s="287"/>
      <c r="AH97" s="231"/>
      <c r="AI97" s="231"/>
      <c r="AJ97" s="404">
        <v>319</v>
      </c>
      <c r="AK97" s="231"/>
    </row>
    <row r="98" spans="1:37" s="280" customFormat="1" x14ac:dyDescent="0.35">
      <c r="A98" s="686"/>
      <c r="B98" s="523"/>
      <c r="C98" s="810" t="e">
        <f>VLOOKUP(B96,Уч!$A$2:$L$34,7,FALSE)</f>
        <v>#N/A</v>
      </c>
      <c r="D98" s="525"/>
      <c r="E98" s="509" t="s">
        <v>29</v>
      </c>
      <c r="F98" s="523" t="e">
        <f>VLOOKUP($B96,'100 м 1'!$C$18:$I$87,7,FALSE)</f>
        <v>#N/A</v>
      </c>
      <c r="G98" s="523" t="e">
        <f>VLOOKUP($B96,'длина 2 '!$C$16:$O$54,13,FALSE)</f>
        <v>#N/A</v>
      </c>
      <c r="H98" s="523" t="e">
        <f>VLOOKUP($B96,'ядро 2'!$C$16:$K$60,9,FALSE)</f>
        <v>#N/A</v>
      </c>
      <c r="I98" s="523" t="e">
        <f>VLOOKUP($B96,'высота 2'!$C$16:$AF$57,30,)</f>
        <v>#N/A</v>
      </c>
      <c r="J98" s="538"/>
      <c r="K98" s="523"/>
      <c r="L98" s="523">
        <f>VLOOKUP($B96,Дс_р!$C$16:$K$70,9,FALSE)</f>
        <v>732</v>
      </c>
      <c r="M98" s="523">
        <f>VLOOKUP($B96,Ш_р!$C$15:$AF$69,30,FALSE)</f>
        <v>790</v>
      </c>
      <c r="N98" s="523">
        <f>VLOOKUP($B96,К_р!$C$15:$K$68,9,FALSE)</f>
        <v>608</v>
      </c>
      <c r="O98" s="523">
        <f>VLOOKUP($B96,'15_р'!$C$17:$H$86,6,FALSE)</f>
        <v>663</v>
      </c>
      <c r="P98" s="697"/>
      <c r="Q98" s="678"/>
      <c r="R98" s="695"/>
      <c r="S98" s="523">
        <f>B96</f>
        <v>68</v>
      </c>
      <c r="T98" s="287">
        <f>$A96</f>
        <v>17</v>
      </c>
      <c r="U98" s="287">
        <v>3</v>
      </c>
      <c r="V98" s="287" t="s">
        <v>162</v>
      </c>
      <c r="W98" s="492"/>
      <c r="X98" s="492"/>
      <c r="Y98" s="492"/>
      <c r="Z98" s="492"/>
      <c r="AA98" s="492"/>
      <c r="AB98" s="492"/>
      <c r="AC98" s="492"/>
      <c r="AD98" s="492"/>
      <c r="AE98" s="492"/>
      <c r="AF98" s="492"/>
      <c r="AG98" s="287"/>
      <c r="AH98" s="231"/>
      <c r="AI98" s="231"/>
      <c r="AJ98" s="404">
        <v>319</v>
      </c>
      <c r="AK98" s="231"/>
    </row>
    <row r="99" spans="1:37" s="280" customFormat="1" x14ac:dyDescent="0.35">
      <c r="A99" s="686"/>
      <c r="B99" s="523"/>
      <c r="C99" s="810"/>
      <c r="D99" s="525"/>
      <c r="E99" s="509" t="s">
        <v>276</v>
      </c>
      <c r="F99" s="523" t="e">
        <f>F98</f>
        <v>#N/A</v>
      </c>
      <c r="G99" s="523" t="e">
        <f>F99+G98</f>
        <v>#N/A</v>
      </c>
      <c r="H99" s="523" t="e">
        <f>G99+H98</f>
        <v>#N/A</v>
      </c>
      <c r="I99" s="523" t="e">
        <f>H99+I98</f>
        <v>#N/A</v>
      </c>
      <c r="J99" s="538"/>
      <c r="K99" s="523"/>
      <c r="L99" s="523">
        <f>K99+L98</f>
        <v>732</v>
      </c>
      <c r="M99" s="523">
        <f>L99+M98</f>
        <v>1522</v>
      </c>
      <c r="N99" s="523" t="e">
        <f>SUM($F98:$N98)</f>
        <v>#N/A</v>
      </c>
      <c r="O99" s="523" t="e">
        <f>SUM($F98:$O98)</f>
        <v>#N/A</v>
      </c>
      <c r="P99" s="697"/>
      <c r="Q99" s="677"/>
      <c r="R99" s="695"/>
      <c r="S99" s="523">
        <f>B96</f>
        <v>68</v>
      </c>
      <c r="T99" s="287">
        <f>$A96</f>
        <v>17</v>
      </c>
      <c r="U99" s="287">
        <v>4</v>
      </c>
      <c r="V99" s="287" t="s">
        <v>162</v>
      </c>
      <c r="W99" s="372" t="e">
        <f t="shared" ref="W99:AF99" si="16">F99</f>
        <v>#N/A</v>
      </c>
      <c r="X99" s="372" t="e">
        <f t="shared" si="16"/>
        <v>#N/A</v>
      </c>
      <c r="Y99" s="372" t="e">
        <f t="shared" si="16"/>
        <v>#N/A</v>
      </c>
      <c r="Z99" s="372" t="e">
        <f t="shared" si="16"/>
        <v>#N/A</v>
      </c>
      <c r="AA99" s="372">
        <f t="shared" si="16"/>
        <v>0</v>
      </c>
      <c r="AB99" s="372">
        <f t="shared" si="16"/>
        <v>0</v>
      </c>
      <c r="AC99" s="372">
        <f t="shared" si="16"/>
        <v>732</v>
      </c>
      <c r="AD99" s="372">
        <f t="shared" si="16"/>
        <v>1522</v>
      </c>
      <c r="AE99" s="372" t="e">
        <f t="shared" si="16"/>
        <v>#N/A</v>
      </c>
      <c r="AF99" s="372" t="e">
        <f t="shared" si="16"/>
        <v>#N/A</v>
      </c>
      <c r="AG99" s="287"/>
      <c r="AH99" s="231"/>
      <c r="AI99" s="231"/>
      <c r="AJ99" s="404">
        <v>319</v>
      </c>
      <c r="AK99" s="231"/>
    </row>
    <row r="100" spans="1:37" s="280" customFormat="1" x14ac:dyDescent="0.25">
      <c r="A100" s="625"/>
      <c r="B100" s="698"/>
      <c r="C100" s="723" t="e">
        <f>VLOOKUP(B96,Уч!$A$2:$L$34,11,FALSE)</f>
        <v>#N/A</v>
      </c>
      <c r="D100" s="703"/>
      <c r="E100" s="692" t="s">
        <v>59</v>
      </c>
      <c r="F100" s="698" t="e">
        <f>RANK(F99,$W$19:$W$135,0)</f>
        <v>#N/A</v>
      </c>
      <c r="G100" s="698" t="e">
        <f>RANK(G99,$X$19:$X$135,0)</f>
        <v>#N/A</v>
      </c>
      <c r="H100" s="698" t="e">
        <f>RANK(H99,$Y$19:$Y$135,0)</f>
        <v>#N/A</v>
      </c>
      <c r="I100" s="698" t="e">
        <f>RANK(I99,$Z$19:$Z$135,0)</f>
        <v>#N/A</v>
      </c>
      <c r="J100" s="704"/>
      <c r="K100" s="698"/>
      <c r="L100" s="698" t="e">
        <f>RANK(L99,$AC$19:$AC$120,0)</f>
        <v>#N/A</v>
      </c>
      <c r="M100" s="698" t="e">
        <f>RANK(M99,$AD$19:$AD$135,0)</f>
        <v>#N/A</v>
      </c>
      <c r="N100" s="698" t="e">
        <f>RANK(N99,$AE$19:$AE$135,0)</f>
        <v>#N/A</v>
      </c>
      <c r="O100" s="698" t="e">
        <f>RANK(O99,$AF$19:$AF$109,0)</f>
        <v>#N/A</v>
      </c>
      <c r="P100" s="705"/>
      <c r="Q100" s="706"/>
      <c r="R100" s="696"/>
      <c r="S100" s="675">
        <f>B96</f>
        <v>68</v>
      </c>
      <c r="T100" s="287">
        <f>$A96</f>
        <v>17</v>
      </c>
      <c r="U100" s="287">
        <v>5</v>
      </c>
      <c r="V100" s="287" t="s">
        <v>162</v>
      </c>
      <c r="W100" s="492"/>
      <c r="X100" s="492"/>
      <c r="Y100" s="492"/>
      <c r="Z100" s="492"/>
      <c r="AA100" s="492"/>
      <c r="AB100" s="492"/>
      <c r="AC100" s="492"/>
      <c r="AD100" s="492"/>
      <c r="AE100" s="492"/>
      <c r="AF100" s="492"/>
      <c r="AG100" s="287"/>
      <c r="AH100" s="231"/>
      <c r="AI100" s="231"/>
      <c r="AJ100" s="404">
        <v>319</v>
      </c>
      <c r="AK100" s="231"/>
    </row>
    <row r="101" spans="1:37" s="280" customFormat="1" x14ac:dyDescent="0.35">
      <c r="A101" s="686">
        <v>18</v>
      </c>
      <c r="B101" s="523">
        <v>24</v>
      </c>
      <c r="C101" s="690" t="e">
        <f>VLOOKUP(B101,Уч!$A$2:$L$34,2,FALSE)</f>
        <v>#N/A</v>
      </c>
      <c r="D101" s="528" t="e">
        <f>VLOOKUP(B101,Уч!$A$2:$L$34,3,FALSE)</f>
        <v>#N/A</v>
      </c>
      <c r="E101" s="509" t="s">
        <v>19</v>
      </c>
      <c r="F101" s="670">
        <f>VLOOKUP($B101,'100 м 1'!$C$18:$I$87,5,FALSE)</f>
        <v>11.15</v>
      </c>
      <c r="G101" s="670" t="e">
        <f>VLOOKUP($B101,'длина 2 '!$C$16:$O$54,11,FALSE)</f>
        <v>#N/A</v>
      </c>
      <c r="H101" s="670" t="e">
        <f>VLOOKUP($B101,'ядро 2'!$C$16:$K$60,8,FALSE)</f>
        <v>#N/A</v>
      </c>
      <c r="I101" s="670" t="e">
        <f>VLOOKUP($B101,'высота 2'!$C$16:$AF$57,29,FALSE)</f>
        <v>#N/A</v>
      </c>
      <c r="J101" s="671">
        <f>VLOOKUP($B101,'4_р'!$C$17:$H$73,5,FALSE)</f>
        <v>54.8</v>
      </c>
      <c r="K101" s="670">
        <f>VLOOKUP($B101,'1cб_р'!$C$17:$I$67,5,FALSE)</f>
        <v>17.36</v>
      </c>
      <c r="L101" s="670">
        <f>VLOOKUP($B101,Дс_р!$C$16:$K$70,8,FALSE)</f>
        <v>29.35</v>
      </c>
      <c r="M101" s="670" t="s">
        <v>349</v>
      </c>
      <c r="N101" s="670">
        <f>VLOOKUP($B101,К_р!$C$15:$K$68,8,FALSE)</f>
        <v>45.16</v>
      </c>
      <c r="O101" s="523" t="str">
        <f>VLOOKUP($B101,'15_р'!$C$17:$H$86,5,FALSE)</f>
        <v>4:51.71</v>
      </c>
      <c r="P101" s="695" t="e">
        <f>SUM(F103:O103)</f>
        <v>#N/A</v>
      </c>
      <c r="Q101" s="522" t="e">
        <f>LOOKUP(P101,Y$1:AH$1,Y$2:AH$2)</f>
        <v>#N/A</v>
      </c>
      <c r="R101" s="721" t="e">
        <f>AH101+AI101+5</f>
        <v>#N/A</v>
      </c>
      <c r="S101" s="523">
        <f>B101</f>
        <v>24</v>
      </c>
      <c r="T101" s="287">
        <f>$A101</f>
        <v>18</v>
      </c>
      <c r="U101" s="287">
        <v>1</v>
      </c>
      <c r="V101" s="287">
        <f>$A101</f>
        <v>18</v>
      </c>
      <c r="W101" s="449"/>
      <c r="X101" s="307"/>
      <c r="Y101" s="307"/>
      <c r="Z101" s="307"/>
      <c r="AA101" s="307"/>
      <c r="AB101" s="307"/>
      <c r="AC101" s="307"/>
      <c r="AD101" s="450"/>
      <c r="AE101" s="450"/>
      <c r="AF101" s="450"/>
      <c r="AH101" s="280" t="e">
        <f>IF(AND(T101&gt;16,P101&gt;=6200),"1",LOOKUP(T101,Y$5:AO$5,Y$6:AO$6))</f>
        <v>#N/A</v>
      </c>
      <c r="AI101" s="280" t="e">
        <f>LOOKUP(Q101,Y$8:AD$8,Y$9:AD$9)</f>
        <v>#N/A</v>
      </c>
      <c r="AJ101" s="404">
        <v>316</v>
      </c>
      <c r="AK101" s="231"/>
    </row>
    <row r="102" spans="1:37" s="280" customFormat="1" x14ac:dyDescent="0.35">
      <c r="A102" s="686"/>
      <c r="B102" s="523"/>
      <c r="C102" s="723" t="e">
        <f>VLOOKUP(B101,Уч!$A$2:$L$34,5,FALSE)</f>
        <v>#N/A</v>
      </c>
      <c r="D102" s="525" t="e">
        <f>VLOOKUP(B101,Уч!$A$2:$L$34,4,FALSE)</f>
        <v>#N/A</v>
      </c>
      <c r="E102" s="509" t="s">
        <v>25</v>
      </c>
      <c r="F102" s="672">
        <f>VLOOKUP($B101,'100 м 1'!$C$18:$I$87,6,FALSE)</f>
        <v>1</v>
      </c>
      <c r="G102" s="672" t="e">
        <f>VLOOKUP($B101,'длина 2 '!$C$16:$O$54,12,FALSE)</f>
        <v>#N/A</v>
      </c>
      <c r="H102" s="523"/>
      <c r="I102" s="672"/>
      <c r="J102" s="673"/>
      <c r="K102" s="672">
        <f>VLOOKUP($B101,'1cб_р'!$C$17:$I$67,6,FALSE)</f>
        <v>0</v>
      </c>
      <c r="L102" s="672"/>
      <c r="M102" s="672"/>
      <c r="N102" s="523"/>
      <c r="O102" s="523"/>
      <c r="P102" s="695"/>
      <c r="Q102" s="674"/>
      <c r="R102" s="721" t="e">
        <f>CONCATENATE(AH101,"+",AI101,"+",5)</f>
        <v>#N/A</v>
      </c>
      <c r="S102" s="523">
        <f>B101</f>
        <v>24</v>
      </c>
      <c r="T102" s="287">
        <f>$A101</f>
        <v>18</v>
      </c>
      <c r="U102" s="287">
        <v>2</v>
      </c>
      <c r="V102" s="287">
        <f>$A101</f>
        <v>18</v>
      </c>
      <c r="W102" s="449"/>
      <c r="X102" s="307"/>
      <c r="Y102" s="307"/>
      <c r="Z102" s="307"/>
      <c r="AA102" s="307"/>
      <c r="AB102" s="307"/>
      <c r="AC102" s="307"/>
      <c r="AD102" s="450"/>
      <c r="AE102" s="450"/>
      <c r="AF102" s="450"/>
      <c r="AH102" s="231"/>
      <c r="AI102" s="231"/>
      <c r="AJ102" s="404">
        <v>316</v>
      </c>
      <c r="AK102" s="231"/>
    </row>
    <row r="103" spans="1:37" s="280" customFormat="1" x14ac:dyDescent="0.35">
      <c r="A103" s="686"/>
      <c r="B103" s="523"/>
      <c r="C103" s="724" t="e">
        <f>VLOOKUP(B101,Уч!$A$2:$L$34,7,FALSE)</f>
        <v>#N/A</v>
      </c>
      <c r="D103" s="525"/>
      <c r="E103" s="509" t="s">
        <v>29</v>
      </c>
      <c r="F103" s="523">
        <f>VLOOKUP($B101,'100 м 1'!$C$18:$I$87,7,FALSE)</f>
        <v>827</v>
      </c>
      <c r="G103" s="523" t="e">
        <f>VLOOKUP($B101,'длина 2 '!$C$16:$O$54,13,FALSE)</f>
        <v>#N/A</v>
      </c>
      <c r="H103" s="523" t="e">
        <f>VLOOKUP($B101,'ядро 2'!$C$16:$K$60,9,FALSE)</f>
        <v>#N/A</v>
      </c>
      <c r="I103" s="523" t="e">
        <f>VLOOKUP($B101,'высота 2'!$C$16:$AF$57,30,)</f>
        <v>#N/A</v>
      </c>
      <c r="J103" s="526">
        <f>VLOOKUP($B101,'4_р'!$C$17:$H$73,6,FALSE)</f>
        <v>607</v>
      </c>
      <c r="K103" s="523">
        <f>VLOOKUP($B101,'1cб_р'!$C$17:$I$67,7,FALSE)</f>
        <v>587</v>
      </c>
      <c r="L103" s="523">
        <f>VLOOKUP($B101,Дс_р!$C$16:$K$70,9,FALSE)</f>
        <v>452</v>
      </c>
      <c r="M103" s="523">
        <f>VLOOKUP($B101,Ш_р!$C$15:$AF$69,30,FALSE)</f>
        <v>0</v>
      </c>
      <c r="N103" s="523">
        <f>VLOOKUP($B101,К_р!$C$15:$K$68,9,FALSE)</f>
        <v>517</v>
      </c>
      <c r="O103" s="523">
        <f>VLOOKUP($B101,'15_р'!$C$17:$H$86,6,FALSE)</f>
        <v>608</v>
      </c>
      <c r="P103" s="695"/>
      <c r="Q103" s="676"/>
      <c r="R103" s="695"/>
      <c r="S103" s="523">
        <f>B101</f>
        <v>24</v>
      </c>
      <c r="T103" s="287">
        <f>$A101</f>
        <v>18</v>
      </c>
      <c r="U103" s="287">
        <v>3</v>
      </c>
      <c r="V103" s="287">
        <f>$A101</f>
        <v>18</v>
      </c>
      <c r="W103" s="449"/>
      <c r="X103" s="307"/>
      <c r="Y103" s="307"/>
      <c r="Z103" s="307"/>
      <c r="AA103" s="307"/>
      <c r="AB103" s="307"/>
      <c r="AC103" s="307"/>
      <c r="AD103" s="450"/>
      <c r="AE103" s="450"/>
      <c r="AF103" s="450"/>
      <c r="AH103" s="231"/>
      <c r="AI103" s="231"/>
      <c r="AJ103" s="404">
        <v>316</v>
      </c>
      <c r="AK103" s="231"/>
    </row>
    <row r="104" spans="1:37" s="280" customFormat="1" x14ac:dyDescent="0.35">
      <c r="A104" s="686"/>
      <c r="B104" s="523"/>
      <c r="C104" s="723" t="e">
        <f>VLOOKUP(B101,Уч!$A$2:$L$34,11,FALSE)</f>
        <v>#N/A</v>
      </c>
      <c r="D104" s="525"/>
      <c r="E104" s="509" t="s">
        <v>276</v>
      </c>
      <c r="F104" s="523">
        <f>F103</f>
        <v>827</v>
      </c>
      <c r="G104" s="523" t="e">
        <f>F104+G103</f>
        <v>#N/A</v>
      </c>
      <c r="H104" s="523" t="e">
        <f>G104+H103</f>
        <v>#N/A</v>
      </c>
      <c r="I104" s="523" t="e">
        <f>H104+I103</f>
        <v>#N/A</v>
      </c>
      <c r="J104" s="526" t="e">
        <f>SUM($F103:J103)</f>
        <v>#N/A</v>
      </c>
      <c r="K104" s="523" t="e">
        <f>SUM($F103:$K103)</f>
        <v>#N/A</v>
      </c>
      <c r="L104" s="523" t="e">
        <f>K104+L103</f>
        <v>#N/A</v>
      </c>
      <c r="M104" s="523" t="e">
        <f>L104+M103</f>
        <v>#N/A</v>
      </c>
      <c r="N104" s="523" t="e">
        <f>SUM($F103:$N103)</f>
        <v>#N/A</v>
      </c>
      <c r="O104" s="523" t="e">
        <f>SUM($F103:$O103)</f>
        <v>#N/A</v>
      </c>
      <c r="P104" s="695"/>
      <c r="Q104" s="674"/>
      <c r="R104" s="695"/>
      <c r="S104" s="523">
        <f>B101</f>
        <v>24</v>
      </c>
      <c r="T104" s="287">
        <f>$A101</f>
        <v>18</v>
      </c>
      <c r="U104" s="287">
        <v>4</v>
      </c>
      <c r="V104" s="287">
        <f>$A101</f>
        <v>18</v>
      </c>
      <c r="W104" s="372">
        <f t="shared" ref="W104:AF104" si="17">F104</f>
        <v>827</v>
      </c>
      <c r="X104" s="372" t="e">
        <f t="shared" si="17"/>
        <v>#N/A</v>
      </c>
      <c r="Y104" s="372" t="e">
        <f t="shared" si="17"/>
        <v>#N/A</v>
      </c>
      <c r="Z104" s="372" t="e">
        <f t="shared" si="17"/>
        <v>#N/A</v>
      </c>
      <c r="AA104" s="372" t="e">
        <f t="shared" si="17"/>
        <v>#N/A</v>
      </c>
      <c r="AB104" s="372" t="e">
        <f t="shared" si="17"/>
        <v>#N/A</v>
      </c>
      <c r="AC104" s="372" t="e">
        <f t="shared" si="17"/>
        <v>#N/A</v>
      </c>
      <c r="AD104" s="372" t="e">
        <f t="shared" si="17"/>
        <v>#N/A</v>
      </c>
      <c r="AE104" s="372" t="e">
        <f t="shared" si="17"/>
        <v>#N/A</v>
      </c>
      <c r="AF104" s="372" t="e">
        <f t="shared" si="17"/>
        <v>#N/A</v>
      </c>
      <c r="AH104" s="231"/>
      <c r="AI104" s="231"/>
      <c r="AJ104" s="404">
        <v>316</v>
      </c>
      <c r="AK104" s="231"/>
    </row>
    <row r="105" spans="1:37" s="280" customFormat="1" x14ac:dyDescent="0.25">
      <c r="A105" s="625"/>
      <c r="B105" s="698"/>
      <c r="C105" s="691"/>
      <c r="D105" s="703"/>
      <c r="E105" s="692" t="s">
        <v>59</v>
      </c>
      <c r="F105" s="698" t="e">
        <f>RANK(F104,$W$19:$W$135,0)</f>
        <v>#N/A</v>
      </c>
      <c r="G105" s="698" t="e">
        <f>RANK(G104,$X$19:$X$135,0)</f>
        <v>#N/A</v>
      </c>
      <c r="H105" s="698" t="e">
        <f>RANK(H104,$Y$19:$Y$135,0)</f>
        <v>#N/A</v>
      </c>
      <c r="I105" s="698" t="e">
        <f>RANK(I104,$Z$19:$Z$135,0)</f>
        <v>#N/A</v>
      </c>
      <c r="J105" s="700" t="e">
        <f>RANK(J104,$AA$19:$AA$119,0)</f>
        <v>#N/A</v>
      </c>
      <c r="K105" s="698" t="e">
        <f>RANK(K104,$AB$19:$AB$121,0)</f>
        <v>#N/A</v>
      </c>
      <c r="L105" s="698" t="e">
        <f>RANK(L104,$AC$19:$AC$115,0)</f>
        <v>#N/A</v>
      </c>
      <c r="M105" s="698" t="e">
        <f>RANK(M104,$AD$19:$AD$135,0)</f>
        <v>#N/A</v>
      </c>
      <c r="N105" s="698" t="e">
        <f>RANK(N104,$AE$19:$AE$135,0)</f>
        <v>#N/A</v>
      </c>
      <c r="O105" s="698" t="e">
        <f>RANK(O104,$AF$19:$AF$109,0)</f>
        <v>#N/A</v>
      </c>
      <c r="P105" s="648"/>
      <c r="Q105" s="701"/>
      <c r="R105" s="696"/>
      <c r="S105" s="675">
        <f>B101</f>
        <v>24</v>
      </c>
      <c r="T105" s="287">
        <f>$A101</f>
        <v>18</v>
      </c>
      <c r="U105" s="287">
        <v>5</v>
      </c>
      <c r="V105" s="287">
        <f>$A101</f>
        <v>18</v>
      </c>
      <c r="W105" s="449"/>
      <c r="X105" s="307"/>
      <c r="Y105" s="307"/>
      <c r="Z105" s="307"/>
      <c r="AA105" s="307"/>
      <c r="AB105" s="307"/>
      <c r="AC105" s="307"/>
      <c r="AD105" s="450"/>
      <c r="AE105" s="450"/>
      <c r="AF105" s="450"/>
      <c r="AH105" s="231"/>
      <c r="AI105" s="231"/>
      <c r="AJ105" s="404">
        <v>316</v>
      </c>
      <c r="AK105" s="231"/>
    </row>
    <row r="106" spans="1:37" s="280" customFormat="1" x14ac:dyDescent="0.35">
      <c r="A106" s="686"/>
      <c r="B106" s="523">
        <v>56</v>
      </c>
      <c r="C106" s="690" t="e">
        <f>VLOOKUP(B106,Уч!$A$2:$L$34,2,FALSE)</f>
        <v>#N/A</v>
      </c>
      <c r="D106" s="528" t="e">
        <f>VLOOKUP(B106,Уч!$A$2:$L$34,3,FALSE)</f>
        <v>#N/A</v>
      </c>
      <c r="E106" s="509" t="s">
        <v>19</v>
      </c>
      <c r="F106" s="670" t="e">
        <f>VLOOKUP($B106,'100 м 1'!$C$18:$I$87,5,FALSE)</f>
        <v>#N/A</v>
      </c>
      <c r="G106" s="670" t="e">
        <f>VLOOKUP($B106,'длина 2 '!$C$16:$O$54,11,FALSE)</f>
        <v>#N/A</v>
      </c>
      <c r="H106" s="670" t="e">
        <f>VLOOKUP($B106,'ядро 2'!$C$16:$K$60,8,FALSE)</f>
        <v>#N/A</v>
      </c>
      <c r="I106" s="670" t="e">
        <f>VLOOKUP($B106,'высота 2'!$C$16:$AF$57,29,FALSE)</f>
        <v>#N/A</v>
      </c>
      <c r="J106" s="670" t="s">
        <v>346</v>
      </c>
      <c r="K106" s="670" t="s">
        <v>346</v>
      </c>
      <c r="L106" s="670">
        <f>VLOOKUP($B106,Дс_р!$C$16:$K$70,8,FALSE)</f>
        <v>37.44</v>
      </c>
      <c r="M106" s="670" t="s">
        <v>349</v>
      </c>
      <c r="N106" s="670">
        <f>VLOOKUP($B106,К_р!$C$15:$K$68,8,FALSE)</f>
        <v>46.68</v>
      </c>
      <c r="O106" s="523" t="s">
        <v>347</v>
      </c>
      <c r="P106" s="695"/>
      <c r="Q106" s="522"/>
      <c r="R106" s="694"/>
      <c r="S106" s="523">
        <f>B106</f>
        <v>56</v>
      </c>
      <c r="T106" s="287">
        <f>$A106</f>
        <v>0</v>
      </c>
      <c r="U106" s="287">
        <v>1</v>
      </c>
      <c r="V106" s="287">
        <f>$A106</f>
        <v>0</v>
      </c>
      <c r="W106" s="449"/>
      <c r="X106" s="307"/>
      <c r="Y106" s="307"/>
      <c r="Z106" s="307"/>
      <c r="AA106" s="307"/>
      <c r="AB106" s="307"/>
      <c r="AC106" s="307"/>
      <c r="AD106" s="450"/>
      <c r="AE106" s="450"/>
      <c r="AF106" s="450"/>
      <c r="AH106" s="280" t="e">
        <f>IF(AND(T106&gt;16,P106&gt;=6200),"1",LOOKUP(T106,Y$5:AO$5,Y$6:AO$6))</f>
        <v>#N/A</v>
      </c>
      <c r="AI106" s="280" t="e">
        <f>LOOKUP(Q106,Y$8:AD$8,Y$9:AD$9)</f>
        <v>#N/A</v>
      </c>
      <c r="AJ106" s="404">
        <v>101</v>
      </c>
      <c r="AK106" s="231"/>
    </row>
    <row r="107" spans="1:37" s="280" customFormat="1" x14ac:dyDescent="0.35">
      <c r="A107" s="686"/>
      <c r="B107" s="523"/>
      <c r="C107" s="723" t="e">
        <f>VLOOKUP(B106,Уч!$A$2:$L$34,5,FALSE)</f>
        <v>#N/A</v>
      </c>
      <c r="D107" s="525" t="e">
        <f>VLOOKUP(B106,Уч!$A$2:$L$34,4,FALSE)</f>
        <v>#N/A</v>
      </c>
      <c r="E107" s="509" t="s">
        <v>25</v>
      </c>
      <c r="F107" s="672" t="e">
        <f>VLOOKUP($B106,'100 м 1'!$C$18:$I$87,6,FALSE)</f>
        <v>#N/A</v>
      </c>
      <c r="G107" s="672" t="e">
        <f>VLOOKUP($B106,'длина 2 '!$C$16:$O$54,12,FALSE)</f>
        <v>#N/A</v>
      </c>
      <c r="H107" s="523"/>
      <c r="I107" s="672"/>
      <c r="J107" s="679"/>
      <c r="K107" s="672"/>
      <c r="L107" s="672"/>
      <c r="M107" s="672"/>
      <c r="N107" s="523"/>
      <c r="O107" s="523"/>
      <c r="P107" s="695"/>
      <c r="Q107" s="674"/>
      <c r="R107" s="694"/>
      <c r="S107" s="523">
        <f>B106</f>
        <v>56</v>
      </c>
      <c r="T107" s="287">
        <f>$A106</f>
        <v>0</v>
      </c>
      <c r="U107" s="287">
        <v>2</v>
      </c>
      <c r="V107" s="287">
        <f>$A106</f>
        <v>0</v>
      </c>
      <c r="W107" s="449"/>
      <c r="X107" s="307"/>
      <c r="Y107" s="307"/>
      <c r="Z107" s="307"/>
      <c r="AA107" s="307"/>
      <c r="AB107" s="307"/>
      <c r="AC107" s="307"/>
      <c r="AD107" s="450"/>
      <c r="AE107" s="450"/>
      <c r="AF107" s="450"/>
      <c r="AH107" s="231"/>
      <c r="AI107" s="231"/>
      <c r="AJ107" s="404">
        <v>101</v>
      </c>
      <c r="AK107" s="231"/>
    </row>
    <row r="108" spans="1:37" s="280" customFormat="1" x14ac:dyDescent="0.35">
      <c r="A108" s="686"/>
      <c r="B108" s="523"/>
      <c r="C108" s="724" t="e">
        <f>VLOOKUP(B106,Уч!$A$2:$L$34,7,FALSE)</f>
        <v>#N/A</v>
      </c>
      <c r="D108" s="525"/>
      <c r="E108" s="509" t="s">
        <v>29</v>
      </c>
      <c r="F108" s="523" t="e">
        <f>VLOOKUP($B106,'100 м 1'!$C$18:$I$87,7,FALSE)</f>
        <v>#N/A</v>
      </c>
      <c r="G108" s="523" t="e">
        <f>VLOOKUP($B106,'длина 2 '!$C$16:$O$54,13,FALSE)</f>
        <v>#N/A</v>
      </c>
      <c r="H108" s="523" t="e">
        <f>VLOOKUP($B106,'ядро 2'!$C$16:$K$60,9,FALSE)</f>
        <v>#N/A</v>
      </c>
      <c r="I108" s="523" t="e">
        <f>VLOOKUP($B106,'высота 2'!$C$16:$AF$57,30,)</f>
        <v>#N/A</v>
      </c>
      <c r="J108" s="538">
        <f>VLOOKUP($B106,'4_р'!$C$17:$H$73,6,FALSE)</f>
        <v>0</v>
      </c>
      <c r="K108" s="523"/>
      <c r="L108" s="523">
        <f>VLOOKUP($B106,Дс_р!$C$16:$K$70,9,FALSE)</f>
        <v>613</v>
      </c>
      <c r="M108" s="523">
        <f>VLOOKUP($B106,Ш_р!$C$15:$AF$69,30,FALSE)</f>
        <v>0</v>
      </c>
      <c r="N108" s="523">
        <f>VLOOKUP($B106,К_р!$C$15:$K$68,9,FALSE)</f>
        <v>540</v>
      </c>
      <c r="O108" s="523"/>
      <c r="P108" s="695"/>
      <c r="Q108" s="676"/>
      <c r="R108" s="695"/>
      <c r="S108" s="523">
        <f>B106</f>
        <v>56</v>
      </c>
      <c r="T108" s="287">
        <f>$A106</f>
        <v>0</v>
      </c>
      <c r="U108" s="287">
        <v>3</v>
      </c>
      <c r="V108" s="287">
        <f>$A106</f>
        <v>0</v>
      </c>
      <c r="W108" s="449"/>
      <c r="X108" s="307"/>
      <c r="Y108" s="307"/>
      <c r="Z108" s="307"/>
      <c r="AA108" s="307"/>
      <c r="AB108" s="307"/>
      <c r="AC108" s="307"/>
      <c r="AD108" s="450"/>
      <c r="AE108" s="450"/>
      <c r="AF108" s="450"/>
      <c r="AH108" s="231"/>
      <c r="AI108" s="231"/>
      <c r="AJ108" s="404">
        <v>101</v>
      </c>
      <c r="AK108" s="231"/>
    </row>
    <row r="109" spans="1:37" s="280" customFormat="1" x14ac:dyDescent="0.35">
      <c r="A109" s="686"/>
      <c r="B109" s="523"/>
      <c r="C109" s="723" t="e">
        <f>VLOOKUP(B106,Уч!$A$2:$L$34,11,FALSE)</f>
        <v>#N/A</v>
      </c>
      <c r="D109" s="525"/>
      <c r="E109" s="509" t="s">
        <v>276</v>
      </c>
      <c r="F109" s="523" t="e">
        <f>F108</f>
        <v>#N/A</v>
      </c>
      <c r="G109" s="523" t="e">
        <f>F109+G108</f>
        <v>#N/A</v>
      </c>
      <c r="H109" s="523" t="e">
        <f>G109+H108</f>
        <v>#N/A</v>
      </c>
      <c r="I109" s="523" t="e">
        <f>H109+I108</f>
        <v>#N/A</v>
      </c>
      <c r="J109" s="538" t="e">
        <f>SUM($F108:J108)</f>
        <v>#N/A</v>
      </c>
      <c r="K109" s="523"/>
      <c r="L109" s="523">
        <f>K109+L108</f>
        <v>613</v>
      </c>
      <c r="M109" s="523">
        <f>L109+M108</f>
        <v>613</v>
      </c>
      <c r="N109" s="523" t="e">
        <f>SUM($F108:$N108)</f>
        <v>#N/A</v>
      </c>
      <c r="O109" s="523"/>
      <c r="P109" s="695"/>
      <c r="Q109" s="676"/>
      <c r="R109" s="695"/>
      <c r="S109" s="523">
        <f>B106</f>
        <v>56</v>
      </c>
      <c r="T109" s="287">
        <f>$A106</f>
        <v>0</v>
      </c>
      <c r="U109" s="287">
        <v>4</v>
      </c>
      <c r="V109" s="287">
        <f>$A106</f>
        <v>0</v>
      </c>
      <c r="W109" s="372" t="e">
        <f t="shared" ref="W109:AF109" si="18">F109</f>
        <v>#N/A</v>
      </c>
      <c r="X109" s="372" t="e">
        <f t="shared" si="18"/>
        <v>#N/A</v>
      </c>
      <c r="Y109" s="372" t="e">
        <f t="shared" si="18"/>
        <v>#N/A</v>
      </c>
      <c r="Z109" s="372" t="e">
        <f t="shared" si="18"/>
        <v>#N/A</v>
      </c>
      <c r="AA109" s="372" t="e">
        <f t="shared" si="18"/>
        <v>#N/A</v>
      </c>
      <c r="AB109" s="372">
        <f t="shared" si="18"/>
        <v>0</v>
      </c>
      <c r="AC109" s="372">
        <f t="shared" si="18"/>
        <v>613</v>
      </c>
      <c r="AD109" s="372">
        <f t="shared" si="18"/>
        <v>613</v>
      </c>
      <c r="AE109" s="372" t="e">
        <f t="shared" si="18"/>
        <v>#N/A</v>
      </c>
      <c r="AF109" s="372">
        <f t="shared" si="18"/>
        <v>0</v>
      </c>
      <c r="AH109" s="231"/>
      <c r="AI109" s="231"/>
      <c r="AJ109" s="404">
        <v>101</v>
      </c>
      <c r="AK109" s="231"/>
    </row>
    <row r="110" spans="1:37" s="280" customFormat="1" x14ac:dyDescent="0.25">
      <c r="A110" s="625"/>
      <c r="B110" s="698"/>
      <c r="C110" s="691"/>
      <c r="D110" s="703"/>
      <c r="E110" s="692" t="s">
        <v>59</v>
      </c>
      <c r="F110" s="698" t="e">
        <f>RANK(F109,$W$19:$W$135,0)</f>
        <v>#N/A</v>
      </c>
      <c r="G110" s="698" t="e">
        <f>RANK(G109,$X$19:$X$135,0)</f>
        <v>#N/A</v>
      </c>
      <c r="H110" s="698" t="e">
        <f>RANK(H109,$Y$19:$Y$135,0)</f>
        <v>#N/A</v>
      </c>
      <c r="I110" s="698" t="e">
        <f>RANK(I109,$Z$19:$Z$135,0)</f>
        <v>#N/A</v>
      </c>
      <c r="J110" s="704" t="e">
        <f>RANK(J109,$AA$19:$AA$135,0)</f>
        <v>#N/A</v>
      </c>
      <c r="K110" s="698"/>
      <c r="L110" s="698" t="e">
        <f>RANK(L109,$AC$19:$AC$120,0)</f>
        <v>#N/A</v>
      </c>
      <c r="M110" s="698" t="e">
        <f>RANK(M109,$AD$19:$AD$135,0)</f>
        <v>#N/A</v>
      </c>
      <c r="N110" s="698" t="e">
        <f>RANK(N109,$AE$19:$AE$135,0)</f>
        <v>#N/A</v>
      </c>
      <c r="O110" s="698"/>
      <c r="P110" s="648"/>
      <c r="Q110" s="701"/>
      <c r="R110" s="696"/>
      <c r="S110" s="675">
        <f>B106</f>
        <v>56</v>
      </c>
      <c r="T110" s="287">
        <f>$A106</f>
        <v>0</v>
      </c>
      <c r="U110" s="287">
        <v>5</v>
      </c>
      <c r="V110" s="287">
        <f>$A106</f>
        <v>0</v>
      </c>
      <c r="W110" s="449"/>
      <c r="X110" s="307"/>
      <c r="Y110" s="307"/>
      <c r="Z110" s="307"/>
      <c r="AA110" s="307"/>
      <c r="AB110" s="307"/>
      <c r="AC110" s="307"/>
      <c r="AD110" s="450"/>
      <c r="AE110" s="450"/>
      <c r="AF110" s="450"/>
      <c r="AH110" s="231"/>
      <c r="AI110" s="231"/>
      <c r="AJ110" s="404">
        <v>101</v>
      </c>
      <c r="AK110" s="231"/>
    </row>
    <row r="111" spans="1:37" s="280" customFormat="1" x14ac:dyDescent="0.35">
      <c r="A111" s="686"/>
      <c r="B111" s="523">
        <v>29</v>
      </c>
      <c r="C111" s="690" t="e">
        <f>VLOOKUP(B111,Уч!$A$2:$L$34,2,FALSE)</f>
        <v>#N/A</v>
      </c>
      <c r="D111" s="528" t="e">
        <f>VLOOKUP(B111,Уч!$A$2:$L$34,3,FALSE)</f>
        <v>#N/A</v>
      </c>
      <c r="E111" s="509" t="s">
        <v>19</v>
      </c>
      <c r="F111" s="670" t="e">
        <f>VLOOKUP($B111,'100 м 1'!$C$18:$I$87,5,FALSE)</f>
        <v>#N/A</v>
      </c>
      <c r="G111" s="670" t="e">
        <f>VLOOKUP($B111,'длина 2 '!$C$16:$O$54,11,FALSE)</f>
        <v>#N/A</v>
      </c>
      <c r="H111" s="670" t="e">
        <f>VLOOKUP($B111,'ядро 2'!$C$16:$K$60,8,FALSE)</f>
        <v>#N/A</v>
      </c>
      <c r="I111" s="670" t="e">
        <f>VLOOKUP($B111,'высота 2'!$C$16:$AF$57,29,FALSE)</f>
        <v>#N/A</v>
      </c>
      <c r="J111" s="671">
        <f>VLOOKUP($B111,'4_р'!$C$17:$H$73,5,FALSE)</f>
        <v>50.57</v>
      </c>
      <c r="K111" s="670">
        <f>VLOOKUP($B111,'1cб_р'!$C$17:$I$67,5,FALSE)</f>
        <v>14.69</v>
      </c>
      <c r="L111" s="670">
        <f>VLOOKUP($B111,Дс_р!$C$16:$K$70,8,FALSE)</f>
        <v>42.74</v>
      </c>
      <c r="M111" s="670" t="s">
        <v>349</v>
      </c>
      <c r="N111" s="670" t="s">
        <v>347</v>
      </c>
      <c r="O111" s="523"/>
      <c r="P111" s="695"/>
      <c r="Q111" s="522"/>
      <c r="R111" s="694"/>
      <c r="S111" s="523">
        <f>B111</f>
        <v>29</v>
      </c>
      <c r="T111" s="287">
        <f>$A111</f>
        <v>0</v>
      </c>
      <c r="U111" s="287">
        <v>1</v>
      </c>
      <c r="V111" s="287" t="s">
        <v>162</v>
      </c>
      <c r="W111" s="307"/>
      <c r="X111" s="307"/>
      <c r="Y111" s="307"/>
      <c r="Z111" s="307"/>
      <c r="AA111" s="307"/>
      <c r="AB111" s="307"/>
      <c r="AC111" s="307"/>
      <c r="AD111" s="450"/>
      <c r="AE111" s="450"/>
      <c r="AF111" s="450"/>
      <c r="AH111" s="280" t="e">
        <f>IF(AND(T111&gt;16,P111&gt;=6200),"1",LOOKUP(T111,Y$5:AO$5,Y$6:AO$6))</f>
        <v>#N/A</v>
      </c>
      <c r="AI111" s="280" t="e">
        <f>LOOKUP(Q111,Y$8:AD$8,Y$9:AD$9)</f>
        <v>#N/A</v>
      </c>
      <c r="AJ111" s="404">
        <v>103</v>
      </c>
      <c r="AK111" s="287"/>
    </row>
    <row r="112" spans="1:37" s="280" customFormat="1" x14ac:dyDescent="0.35">
      <c r="A112" s="686"/>
      <c r="B112" s="523"/>
      <c r="C112" s="723" t="e">
        <f>VLOOKUP(B111,Уч!$A$2:$L$34,5,FALSE)</f>
        <v>#N/A</v>
      </c>
      <c r="D112" s="525" t="e">
        <f>VLOOKUP(B111,Уч!$A$2:$L$34,4,FALSE)</f>
        <v>#N/A</v>
      </c>
      <c r="E112" s="509" t="s">
        <v>25</v>
      </c>
      <c r="F112" s="672" t="e">
        <f>VLOOKUP($B111,'100 м 1'!$C$18:$I$87,6,FALSE)</f>
        <v>#N/A</v>
      </c>
      <c r="G112" s="672" t="e">
        <f>VLOOKUP($B111,'длина 2 '!$C$16:$O$54,12,FALSE)</f>
        <v>#N/A</v>
      </c>
      <c r="H112" s="523"/>
      <c r="I112" s="672"/>
      <c r="J112" s="673"/>
      <c r="K112" s="672">
        <f>VLOOKUP($B111,'1cб_р'!$C$17:$I$67,6,FALSE)</f>
        <v>0</v>
      </c>
      <c r="L112" s="672"/>
      <c r="M112" s="672"/>
      <c r="N112" s="523"/>
      <c r="O112" s="523"/>
      <c r="P112" s="695"/>
      <c r="Q112" s="674"/>
      <c r="R112" s="694"/>
      <c r="S112" s="523">
        <f>B111</f>
        <v>29</v>
      </c>
      <c r="T112" s="287">
        <f>$A111</f>
        <v>0</v>
      </c>
      <c r="U112" s="287">
        <v>2</v>
      </c>
      <c r="V112" s="287" t="s">
        <v>162</v>
      </c>
      <c r="W112" s="307"/>
      <c r="X112" s="307"/>
      <c r="Y112" s="307"/>
      <c r="Z112" s="307"/>
      <c r="AA112" s="307"/>
      <c r="AB112" s="307"/>
      <c r="AC112" s="307"/>
      <c r="AD112" s="450"/>
      <c r="AE112" s="450"/>
      <c r="AF112" s="450"/>
      <c r="AH112" s="231"/>
      <c r="AI112" s="231"/>
      <c r="AJ112" s="404">
        <v>103</v>
      </c>
      <c r="AK112" s="287"/>
    </row>
    <row r="113" spans="1:51" s="280" customFormat="1" x14ac:dyDescent="0.35">
      <c r="A113" s="686"/>
      <c r="B113" s="523"/>
      <c r="C113" s="810" t="e">
        <f>VLOOKUP(B111,Уч!$A$2:$L$34,7,FALSE)</f>
        <v>#N/A</v>
      </c>
      <c r="D113" s="525"/>
      <c r="E113" s="509" t="s">
        <v>29</v>
      </c>
      <c r="F113" s="523" t="e">
        <f>VLOOKUP($B111,'100 м 1'!$C$18:$I$87,7,FALSE)</f>
        <v>#N/A</v>
      </c>
      <c r="G113" s="523" t="e">
        <f>VLOOKUP($B111,'длина 2 '!$C$16:$O$54,13,FALSE)</f>
        <v>#N/A</v>
      </c>
      <c r="H113" s="523" t="e">
        <f>VLOOKUP($B111,'ядро 2'!$C$16:$K$60,9,FALSE)</f>
        <v>#N/A</v>
      </c>
      <c r="I113" s="523" t="e">
        <f>VLOOKUP($B111,'высота 2'!$C$16:$AF$57,30,)</f>
        <v>#N/A</v>
      </c>
      <c r="J113" s="526">
        <f>VLOOKUP($B111,'4_р'!$C$17:$H$73,6,FALSE)</f>
        <v>789</v>
      </c>
      <c r="K113" s="523">
        <f>VLOOKUP($B111,'1cб_р'!$C$17:$I$67,7,FALSE)</f>
        <v>887</v>
      </c>
      <c r="L113" s="523">
        <f>VLOOKUP($B111,Дс_р!$C$16:$K$70,9,FALSE)</f>
        <v>720</v>
      </c>
      <c r="M113" s="523"/>
      <c r="N113" s="523"/>
      <c r="O113" s="523"/>
      <c r="P113" s="695"/>
      <c r="Q113" s="557"/>
      <c r="R113" s="695"/>
      <c r="S113" s="523">
        <f>B111</f>
        <v>29</v>
      </c>
      <c r="T113" s="287">
        <f>$A111</f>
        <v>0</v>
      </c>
      <c r="U113" s="287">
        <v>3</v>
      </c>
      <c r="V113" s="287" t="s">
        <v>162</v>
      </c>
      <c r="W113" s="307"/>
      <c r="X113" s="307"/>
      <c r="Y113" s="307"/>
      <c r="Z113" s="307"/>
      <c r="AA113" s="307"/>
      <c r="AB113" s="307"/>
      <c r="AC113" s="307"/>
      <c r="AD113" s="450"/>
      <c r="AE113" s="450"/>
      <c r="AF113" s="450"/>
      <c r="AH113" s="231"/>
      <c r="AI113" s="231"/>
      <c r="AJ113" s="404">
        <v>103</v>
      </c>
      <c r="AK113" s="287"/>
    </row>
    <row r="114" spans="1:51" s="280" customFormat="1" x14ac:dyDescent="0.35">
      <c r="A114" s="686"/>
      <c r="B114" s="523"/>
      <c r="C114" s="810"/>
      <c r="D114" s="525"/>
      <c r="E114" s="509" t="s">
        <v>276</v>
      </c>
      <c r="F114" s="523" t="e">
        <f>F113</f>
        <v>#N/A</v>
      </c>
      <c r="G114" s="523" t="e">
        <f>F114+G113</f>
        <v>#N/A</v>
      </c>
      <c r="H114" s="523" t="e">
        <f>G114+H113</f>
        <v>#N/A</v>
      </c>
      <c r="I114" s="523" t="e">
        <f>H114+I113</f>
        <v>#N/A</v>
      </c>
      <c r="J114" s="526" t="e">
        <f>SUM($F113:J113)</f>
        <v>#N/A</v>
      </c>
      <c r="K114" s="523" t="e">
        <f>SUM($F113:$K113)</f>
        <v>#N/A</v>
      </c>
      <c r="L114" s="523" t="e">
        <f>K114+L113</f>
        <v>#N/A</v>
      </c>
      <c r="M114" s="523"/>
      <c r="N114" s="523"/>
      <c r="O114" s="523"/>
      <c r="P114" s="695"/>
      <c r="Q114" s="557"/>
      <c r="R114" s="695"/>
      <c r="S114" s="523">
        <f>B111</f>
        <v>29</v>
      </c>
      <c r="T114" s="287">
        <f>$A111</f>
        <v>0</v>
      </c>
      <c r="U114" s="287">
        <v>4</v>
      </c>
      <c r="V114" s="287" t="s">
        <v>162</v>
      </c>
      <c r="W114" s="372" t="e">
        <f t="shared" ref="W114:AF114" si="19">F114</f>
        <v>#N/A</v>
      </c>
      <c r="X114" s="372" t="e">
        <f t="shared" si="19"/>
        <v>#N/A</v>
      </c>
      <c r="Y114" s="372" t="e">
        <f t="shared" si="19"/>
        <v>#N/A</v>
      </c>
      <c r="Z114" s="372" t="e">
        <f t="shared" si="19"/>
        <v>#N/A</v>
      </c>
      <c r="AA114" s="372" t="e">
        <f t="shared" si="19"/>
        <v>#N/A</v>
      </c>
      <c r="AB114" s="372" t="e">
        <f t="shared" si="19"/>
        <v>#N/A</v>
      </c>
      <c r="AC114" s="372" t="e">
        <f t="shared" si="19"/>
        <v>#N/A</v>
      </c>
      <c r="AD114" s="372">
        <f t="shared" si="19"/>
        <v>0</v>
      </c>
      <c r="AE114" s="372">
        <f t="shared" si="19"/>
        <v>0</v>
      </c>
      <c r="AF114" s="372">
        <f t="shared" si="19"/>
        <v>0</v>
      </c>
      <c r="AH114" s="231"/>
      <c r="AI114" s="231"/>
      <c r="AJ114" s="404">
        <v>103</v>
      </c>
      <c r="AK114" s="287"/>
    </row>
    <row r="115" spans="1:51" s="280" customFormat="1" x14ac:dyDescent="0.25">
      <c r="A115" s="625"/>
      <c r="B115" s="698"/>
      <c r="C115" s="615" t="e">
        <f>VLOOKUP(B111,Уч!$A$2:$L$34,11,FALSE)</f>
        <v>#N/A</v>
      </c>
      <c r="D115" s="703"/>
      <c r="E115" s="692" t="s">
        <v>59</v>
      </c>
      <c r="F115" s="698" t="e">
        <f>RANK(F114,$W$19:$W$135,0)</f>
        <v>#N/A</v>
      </c>
      <c r="G115" s="698" t="e">
        <f>RANK(G114,$X$19:$X$135,0)</f>
        <v>#N/A</v>
      </c>
      <c r="H115" s="698" t="e">
        <f>RANK(H114,$Y$19:$Y$135,0)</f>
        <v>#N/A</v>
      </c>
      <c r="I115" s="698" t="e">
        <f>RANK(I114,$Z$19:$Z$135,0)</f>
        <v>#N/A</v>
      </c>
      <c r="J115" s="700" t="e">
        <f>RANK(J114,$AA$19:$AA$120,0)</f>
        <v>#N/A</v>
      </c>
      <c r="K115" s="698" t="e">
        <f>RANK(K114,$AB$19:$AB$120,0)</f>
        <v>#N/A</v>
      </c>
      <c r="L115" s="698" t="e">
        <f>RANK(L114,$AC$19:$AC$115,0)</f>
        <v>#N/A</v>
      </c>
      <c r="M115" s="698"/>
      <c r="N115" s="698"/>
      <c r="O115" s="698"/>
      <c r="P115" s="648"/>
      <c r="Q115" s="701"/>
      <c r="R115" s="696"/>
      <c r="S115" s="675">
        <f>B111</f>
        <v>29</v>
      </c>
      <c r="T115" s="287">
        <f>$A111</f>
        <v>0</v>
      </c>
      <c r="U115" s="287">
        <v>5</v>
      </c>
      <c r="V115" s="287" t="s">
        <v>162</v>
      </c>
      <c r="W115" s="449"/>
      <c r="X115" s="307"/>
      <c r="Y115" s="307"/>
      <c r="Z115" s="307"/>
      <c r="AA115" s="307"/>
      <c r="AB115" s="307"/>
      <c r="AC115" s="307"/>
      <c r="AD115" s="450"/>
      <c r="AE115" s="450"/>
      <c r="AF115" s="450"/>
      <c r="AH115" s="231"/>
      <c r="AI115" s="231"/>
      <c r="AJ115" s="404">
        <v>103</v>
      </c>
      <c r="AK115" s="231"/>
    </row>
    <row r="116" spans="1:51" s="280" customFormat="1" x14ac:dyDescent="0.35">
      <c r="A116" s="686"/>
      <c r="B116" s="523">
        <v>63</v>
      </c>
      <c r="C116" s="690" t="e">
        <f>VLOOKUP(B116,Уч!$A$2:$L$34,2,FALSE)</f>
        <v>#N/A</v>
      </c>
      <c r="D116" s="528" t="e">
        <f>VLOOKUP(B116,Уч!$A$2:$L$34,3,FALSE)</f>
        <v>#N/A</v>
      </c>
      <c r="E116" s="509" t="s">
        <v>19</v>
      </c>
      <c r="F116" s="670" t="e">
        <f>VLOOKUP($B116,'100 м 1'!$C$18:$I$87,5,FALSE)</f>
        <v>#N/A</v>
      </c>
      <c r="G116" s="670" t="e">
        <f>VLOOKUP($B116,'длина 2 '!$C$16:$O$54,11,FALSE)</f>
        <v>#N/A</v>
      </c>
      <c r="H116" s="670" t="e">
        <f>VLOOKUP($B116,'ядро 2'!$C$16:$K$60,8,FALSE)</f>
        <v>#N/A</v>
      </c>
      <c r="I116" s="670">
        <f>VLOOKUP($B116,'высота 2'!$C$16:$AF$57,29,FALSE)</f>
        <v>1.88</v>
      </c>
      <c r="J116" s="671">
        <f>VLOOKUP($B116,'4_р'!$C$17:$H$73,5,FALSE)</f>
        <v>51.43</v>
      </c>
      <c r="K116" s="670" t="s">
        <v>346</v>
      </c>
      <c r="L116" s="670">
        <f>VLOOKUP($B116,Дс_р!$C$16:$K$70,8,FALSE)</f>
        <v>30.59</v>
      </c>
      <c r="M116" s="670" t="s">
        <v>349</v>
      </c>
      <c r="N116" s="670" t="s">
        <v>337</v>
      </c>
      <c r="O116" s="523"/>
      <c r="P116" s="695"/>
      <c r="Q116" s="522"/>
      <c r="R116" s="694"/>
      <c r="S116" s="523">
        <f>B116</f>
        <v>63</v>
      </c>
      <c r="T116" s="287">
        <f>$A116</f>
        <v>0</v>
      </c>
      <c r="U116" s="287">
        <v>1</v>
      </c>
      <c r="V116" s="287">
        <f>$A116</f>
        <v>0</v>
      </c>
      <c r="W116" s="449"/>
      <c r="X116" s="307"/>
      <c r="Y116" s="307"/>
      <c r="Z116" s="307"/>
      <c r="AA116" s="307"/>
      <c r="AB116" s="307"/>
      <c r="AC116" s="307"/>
      <c r="AD116" s="450"/>
      <c r="AE116" s="450"/>
      <c r="AF116" s="450"/>
      <c r="AH116" s="280" t="e">
        <f>IF(AND(T116&gt;16,P116&gt;=6200),"1",LOOKUP(T116,Y$5:AO$5,Y$6:AO$6))</f>
        <v>#N/A</v>
      </c>
      <c r="AI116" s="280" t="e">
        <f>LOOKUP(Q116,Y$8:AD$8,Y$9:AD$9)</f>
        <v>#N/A</v>
      </c>
      <c r="AJ116" s="404">
        <v>334</v>
      </c>
      <c r="AK116" s="231"/>
      <c r="AP116" s="287"/>
      <c r="AQ116" s="287"/>
      <c r="AR116" s="287"/>
      <c r="AS116" s="287"/>
      <c r="AT116" s="287"/>
      <c r="AU116" s="287"/>
      <c r="AV116" s="287"/>
      <c r="AW116" s="287"/>
      <c r="AX116" s="287"/>
      <c r="AY116" s="287"/>
    </row>
    <row r="117" spans="1:51" s="280" customFormat="1" x14ac:dyDescent="0.35">
      <c r="A117" s="686"/>
      <c r="B117" s="523"/>
      <c r="C117" s="723" t="e">
        <f>VLOOKUP(B116,Уч!$A$2:$L$34,5,FALSE)</f>
        <v>#N/A</v>
      </c>
      <c r="D117" s="528" t="e">
        <f>VLOOKUP(B116,Уч!$A$2:$L$34,4,FALSE)</f>
        <v>#N/A</v>
      </c>
      <c r="E117" s="509" t="s">
        <v>25</v>
      </c>
      <c r="F117" s="672" t="e">
        <f>VLOOKUP($B116,'100 м 1'!$C$18:$I$87,6,FALSE)</f>
        <v>#N/A</v>
      </c>
      <c r="G117" s="672" t="e">
        <f>VLOOKUP($B116,'длина 2 '!$C$16:$O$54,12,FALSE)</f>
        <v>#N/A</v>
      </c>
      <c r="H117" s="523"/>
      <c r="I117" s="672"/>
      <c r="J117" s="673"/>
      <c r="K117" s="672"/>
      <c r="L117" s="672"/>
      <c r="M117" s="672"/>
      <c r="N117" s="523"/>
      <c r="O117" s="523"/>
      <c r="P117" s="695"/>
      <c r="Q117" s="674"/>
      <c r="R117" s="694"/>
      <c r="S117" s="523">
        <f>B116</f>
        <v>63</v>
      </c>
      <c r="T117" s="287">
        <f>$A116</f>
        <v>0</v>
      </c>
      <c r="U117" s="287">
        <v>2</v>
      </c>
      <c r="V117" s="287">
        <f>$A116</f>
        <v>0</v>
      </c>
      <c r="W117" s="449"/>
      <c r="X117" s="307"/>
      <c r="Y117" s="307"/>
      <c r="Z117" s="307"/>
      <c r="AA117" s="307"/>
      <c r="AB117" s="307"/>
      <c r="AC117" s="307"/>
      <c r="AD117" s="450"/>
      <c r="AE117" s="450"/>
      <c r="AF117" s="450"/>
      <c r="AH117" s="231"/>
      <c r="AI117" s="231"/>
      <c r="AJ117" s="404">
        <v>334</v>
      </c>
      <c r="AK117" s="231"/>
      <c r="AP117" s="287"/>
      <c r="AQ117" s="287"/>
      <c r="AR117" s="287"/>
      <c r="AS117" s="287"/>
      <c r="AT117" s="287"/>
      <c r="AU117" s="287"/>
      <c r="AV117" s="287"/>
      <c r="AW117" s="287"/>
      <c r="AX117" s="287"/>
      <c r="AY117" s="287"/>
    </row>
    <row r="118" spans="1:51" s="280" customFormat="1" x14ac:dyDescent="0.35">
      <c r="A118" s="686"/>
      <c r="B118" s="523"/>
      <c r="C118" s="810" t="e">
        <f>VLOOKUP(B116,Уч!$A$2:$L$34,7,FALSE)</f>
        <v>#N/A</v>
      </c>
      <c r="D118" s="528"/>
      <c r="E118" s="509" t="s">
        <v>29</v>
      </c>
      <c r="F118" s="523" t="e">
        <f>VLOOKUP($B116,'100 м 1'!$C$18:$I$87,7,FALSE)</f>
        <v>#N/A</v>
      </c>
      <c r="G118" s="523" t="e">
        <f>VLOOKUP($B116,'длина 2 '!$C$16:$O$54,13,FALSE)</f>
        <v>#N/A</v>
      </c>
      <c r="H118" s="523" t="e">
        <f>VLOOKUP($B116,'ядро 2'!$C$16:$K$60,9,FALSE)</f>
        <v>#N/A</v>
      </c>
      <c r="I118" s="523">
        <f>VLOOKUP($B116,'высота 2'!$C$16:$AF$57,30,)</f>
        <v>0</v>
      </c>
      <c r="J118" s="526">
        <f>VLOOKUP($B116,'4_р'!$C$17:$H$73,6,FALSE)</f>
        <v>750</v>
      </c>
      <c r="K118" s="523"/>
      <c r="L118" s="523">
        <f>VLOOKUP($B116,Дс_р!$C$16:$K$70,9,FALSE)</f>
        <v>476</v>
      </c>
      <c r="M118" s="523">
        <f>VLOOKUP($B116,Ш_р!$C$15:$AF$69,30,FALSE)</f>
        <v>0</v>
      </c>
      <c r="N118" s="523"/>
      <c r="O118" s="523"/>
      <c r="P118" s="695"/>
      <c r="Q118" s="676"/>
      <c r="R118" s="695"/>
      <c r="S118" s="523">
        <f>B116</f>
        <v>63</v>
      </c>
      <c r="T118" s="287">
        <f>$A116</f>
        <v>0</v>
      </c>
      <c r="U118" s="287">
        <v>3</v>
      </c>
      <c r="V118" s="287">
        <f>$A116</f>
        <v>0</v>
      </c>
      <c r="W118" s="449"/>
      <c r="X118" s="307"/>
      <c r="Y118" s="307"/>
      <c r="Z118" s="307"/>
      <c r="AA118" s="307"/>
      <c r="AB118" s="307"/>
      <c r="AC118" s="307"/>
      <c r="AD118" s="450"/>
      <c r="AE118" s="450"/>
      <c r="AF118" s="450"/>
      <c r="AH118" s="231"/>
      <c r="AI118" s="231"/>
      <c r="AJ118" s="404">
        <v>334</v>
      </c>
      <c r="AK118" s="231"/>
      <c r="AP118" s="287"/>
      <c r="AQ118" s="287"/>
      <c r="AR118" s="287"/>
      <c r="AS118" s="287"/>
      <c r="AT118" s="287"/>
      <c r="AU118" s="287"/>
      <c r="AV118" s="287"/>
      <c r="AW118" s="287"/>
      <c r="AX118" s="287"/>
      <c r="AY118" s="287"/>
    </row>
    <row r="119" spans="1:51" s="280" customFormat="1" x14ac:dyDescent="0.35">
      <c r="A119" s="686"/>
      <c r="B119" s="523"/>
      <c r="C119" s="810"/>
      <c r="D119" s="528"/>
      <c r="E119" s="509" t="s">
        <v>276</v>
      </c>
      <c r="F119" s="523" t="e">
        <f>F118</f>
        <v>#N/A</v>
      </c>
      <c r="G119" s="523" t="e">
        <f>F119+G118</f>
        <v>#N/A</v>
      </c>
      <c r="H119" s="523" t="e">
        <f>G119+H118</f>
        <v>#N/A</v>
      </c>
      <c r="I119" s="523" t="e">
        <f>H119+I118</f>
        <v>#N/A</v>
      </c>
      <c r="J119" s="526" t="e">
        <f>SUM($F118:J118)</f>
        <v>#N/A</v>
      </c>
      <c r="K119" s="523"/>
      <c r="L119" s="523">
        <f>K119+L118</f>
        <v>476</v>
      </c>
      <c r="M119" s="523">
        <f>L119+M118</f>
        <v>476</v>
      </c>
      <c r="N119" s="523"/>
      <c r="O119" s="523"/>
      <c r="P119" s="695"/>
      <c r="Q119" s="674"/>
      <c r="R119" s="695"/>
      <c r="S119" s="523">
        <f>B116</f>
        <v>63</v>
      </c>
      <c r="T119" s="287">
        <f>$A116</f>
        <v>0</v>
      </c>
      <c r="U119" s="287">
        <v>4</v>
      </c>
      <c r="V119" s="287">
        <f>$A116</f>
        <v>0</v>
      </c>
      <c r="W119" s="372" t="e">
        <f t="shared" ref="W119:AF119" si="20">F119</f>
        <v>#N/A</v>
      </c>
      <c r="X119" s="372" t="e">
        <f t="shared" si="20"/>
        <v>#N/A</v>
      </c>
      <c r="Y119" s="372" t="e">
        <f t="shared" si="20"/>
        <v>#N/A</v>
      </c>
      <c r="Z119" s="372" t="e">
        <f t="shared" si="20"/>
        <v>#N/A</v>
      </c>
      <c r="AA119" s="372" t="e">
        <f t="shared" si="20"/>
        <v>#N/A</v>
      </c>
      <c r="AB119" s="372">
        <f t="shared" si="20"/>
        <v>0</v>
      </c>
      <c r="AC119" s="372">
        <f t="shared" si="20"/>
        <v>476</v>
      </c>
      <c r="AD119" s="372">
        <f t="shared" si="20"/>
        <v>476</v>
      </c>
      <c r="AE119" s="372">
        <f t="shared" si="20"/>
        <v>0</v>
      </c>
      <c r="AF119" s="372">
        <f t="shared" si="20"/>
        <v>0</v>
      </c>
      <c r="AH119" s="231"/>
      <c r="AI119" s="231"/>
      <c r="AJ119" s="404">
        <v>334</v>
      </c>
      <c r="AK119" s="231"/>
      <c r="AP119" s="287"/>
      <c r="AQ119" s="287"/>
      <c r="AR119" s="287"/>
      <c r="AS119" s="287"/>
      <c r="AT119" s="287"/>
      <c r="AU119" s="287"/>
      <c r="AV119" s="287"/>
      <c r="AW119" s="287"/>
      <c r="AX119" s="287"/>
      <c r="AY119" s="287"/>
    </row>
    <row r="120" spans="1:51" s="280" customFormat="1" x14ac:dyDescent="0.25">
      <c r="A120" s="625"/>
      <c r="B120" s="698"/>
      <c r="C120" s="615" t="e">
        <f>VLOOKUP(B116,Уч!$A$2:$L$34,11,FALSE)</f>
        <v>#N/A</v>
      </c>
      <c r="D120" s="699"/>
      <c r="E120" s="692" t="s">
        <v>59</v>
      </c>
      <c r="F120" s="698" t="e">
        <f>RANK(F119,$W$19:$W$135,0)</f>
        <v>#N/A</v>
      </c>
      <c r="G120" s="698" t="e">
        <f>RANK(G119,$X$19:$X$135,0)</f>
        <v>#N/A</v>
      </c>
      <c r="H120" s="698" t="e">
        <f>RANK(H119,$Y$19:$Y$135,0)</f>
        <v>#N/A</v>
      </c>
      <c r="I120" s="698" t="e">
        <f>RANK(I119,$Z$19:$Z$135,0)</f>
        <v>#N/A</v>
      </c>
      <c r="J120" s="700" t="e">
        <f>RANK(J119,$AA$19:$AA$119,0)</f>
        <v>#N/A</v>
      </c>
      <c r="K120" s="698"/>
      <c r="L120" s="698" t="e">
        <f>RANK(L119,$AC$19:$AC$120,0)</f>
        <v>#N/A</v>
      </c>
      <c r="M120" s="698" t="e">
        <f>RANK(M119,$AD$19:$AD$135,0)</f>
        <v>#N/A</v>
      </c>
      <c r="N120" s="698"/>
      <c r="O120" s="698"/>
      <c r="P120" s="648"/>
      <c r="Q120" s="701"/>
      <c r="R120" s="696"/>
      <c r="S120" s="675">
        <f>B116</f>
        <v>63</v>
      </c>
      <c r="T120" s="287">
        <f>$A116</f>
        <v>0</v>
      </c>
      <c r="U120" s="287">
        <v>5</v>
      </c>
      <c r="V120" s="287">
        <f>$A116</f>
        <v>0</v>
      </c>
      <c r="W120" s="449"/>
      <c r="X120" s="307"/>
      <c r="Y120" s="307"/>
      <c r="Z120" s="307"/>
      <c r="AA120" s="307"/>
      <c r="AB120" s="307"/>
      <c r="AC120" s="307"/>
      <c r="AD120" s="450"/>
      <c r="AE120" s="450"/>
      <c r="AF120" s="450"/>
      <c r="AJ120" s="404">
        <v>334</v>
      </c>
      <c r="AK120" s="231"/>
      <c r="AP120" s="287"/>
      <c r="AQ120" s="287"/>
      <c r="AR120" s="287"/>
      <c r="AS120" s="287"/>
      <c r="AT120" s="287"/>
      <c r="AU120" s="287"/>
      <c r="AV120" s="287"/>
      <c r="AW120" s="287"/>
      <c r="AX120" s="287"/>
      <c r="AY120" s="287"/>
    </row>
    <row r="121" spans="1:51" s="280" customFormat="1" x14ac:dyDescent="0.35">
      <c r="A121" s="686"/>
      <c r="B121" s="523">
        <v>62</v>
      </c>
      <c r="C121" s="690" t="e">
        <f>VLOOKUP(B121,Уч!$A$2:$L$34,2,FALSE)</f>
        <v>#N/A</v>
      </c>
      <c r="D121" s="528" t="e">
        <f>VLOOKUP(B121,Уч!$A$2:$L$34,3,FALSE)</f>
        <v>#N/A</v>
      </c>
      <c r="E121" s="509" t="s">
        <v>19</v>
      </c>
      <c r="F121" s="670" t="e">
        <f>VLOOKUP($B121,'100 м 1'!$C$18:$I$87,5,FALSE)</f>
        <v>#N/A</v>
      </c>
      <c r="G121" s="670" t="e">
        <f>VLOOKUP($B121,'длина 2 '!$C$16:$O$54,11,FALSE)</f>
        <v>#N/A</v>
      </c>
      <c r="H121" s="670" t="e">
        <f>VLOOKUP($B121,'ядро 2'!$C$16:$K$60,8,FALSE)</f>
        <v>#N/A</v>
      </c>
      <c r="I121" s="670">
        <f>VLOOKUP($B121,'высота 2'!$C$16:$AF$57,29,FALSE)</f>
        <v>1.88</v>
      </c>
      <c r="J121" s="671" t="s">
        <v>337</v>
      </c>
      <c r="K121" s="670"/>
      <c r="L121" s="670"/>
      <c r="M121" s="670"/>
      <c r="N121" s="670"/>
      <c r="O121" s="523"/>
      <c r="P121" s="695"/>
      <c r="Q121" s="522"/>
      <c r="R121" s="694"/>
      <c r="S121" s="523">
        <f>B121</f>
        <v>62</v>
      </c>
      <c r="T121" s="287">
        <f>$A121</f>
        <v>0</v>
      </c>
      <c r="U121" s="287">
        <v>1</v>
      </c>
      <c r="V121" s="287">
        <f>$A121</f>
        <v>0</v>
      </c>
      <c r="W121" s="449"/>
      <c r="X121" s="307"/>
      <c r="Y121" s="307"/>
      <c r="Z121" s="307"/>
      <c r="AA121" s="307"/>
      <c r="AB121" s="307"/>
      <c r="AC121" s="307"/>
      <c r="AD121" s="450"/>
      <c r="AE121" s="450"/>
      <c r="AF121" s="450"/>
      <c r="AH121" s="280" t="e">
        <f>IF(AND(T121&gt;16,P121&gt;=6200),"1",LOOKUP(T121,Y$5:AO$5,Y$6:AO$6))</f>
        <v>#N/A</v>
      </c>
      <c r="AI121" s="280" t="e">
        <f>LOOKUP(Q121,Y$8:AD$8,Y$9:AD$9)</f>
        <v>#N/A</v>
      </c>
      <c r="AJ121" s="404">
        <v>460</v>
      </c>
      <c r="AK121" s="231"/>
    </row>
    <row r="122" spans="1:51" s="280" customFormat="1" x14ac:dyDescent="0.35">
      <c r="A122" s="686"/>
      <c r="B122" s="523"/>
      <c r="C122" s="723" t="e">
        <f>VLOOKUP(B121,Уч!$A$2:$L$34,5,FALSE)</f>
        <v>#N/A</v>
      </c>
      <c r="D122" s="528" t="e">
        <f>VLOOKUP(B121,Уч!$A$2:$L$34,4,FALSE)</f>
        <v>#N/A</v>
      </c>
      <c r="E122" s="509" t="s">
        <v>25</v>
      </c>
      <c r="F122" s="672" t="e">
        <f>VLOOKUP($B121,'100 м 1'!$C$18:$I$87,6,FALSE)</f>
        <v>#N/A</v>
      </c>
      <c r="G122" s="672" t="e">
        <f>VLOOKUP($B121,'длина 2 '!$C$16:$O$54,12,FALSE)</f>
        <v>#N/A</v>
      </c>
      <c r="H122" s="523"/>
      <c r="I122" s="672"/>
      <c r="J122" s="673"/>
      <c r="K122" s="672"/>
      <c r="L122" s="672"/>
      <c r="M122" s="672"/>
      <c r="N122" s="523"/>
      <c r="O122" s="523"/>
      <c r="P122" s="695"/>
      <c r="Q122" s="674"/>
      <c r="R122" s="694"/>
      <c r="S122" s="523">
        <f>B121</f>
        <v>62</v>
      </c>
      <c r="T122" s="287">
        <f>$A121</f>
        <v>0</v>
      </c>
      <c r="U122" s="287">
        <v>2</v>
      </c>
      <c r="V122" s="287">
        <f>$A121</f>
        <v>0</v>
      </c>
      <c r="W122" s="449"/>
      <c r="X122" s="307"/>
      <c r="Y122" s="307"/>
      <c r="Z122" s="307"/>
      <c r="AA122" s="307"/>
      <c r="AB122" s="307"/>
      <c r="AC122" s="307"/>
      <c r="AD122" s="450"/>
      <c r="AE122" s="450"/>
      <c r="AF122" s="450"/>
      <c r="AH122" s="231"/>
      <c r="AI122" s="231"/>
      <c r="AJ122" s="404">
        <v>460</v>
      </c>
      <c r="AK122" s="231"/>
    </row>
    <row r="123" spans="1:51" s="280" customFormat="1" x14ac:dyDescent="0.35">
      <c r="A123" s="686"/>
      <c r="B123" s="523"/>
      <c r="C123" s="724" t="e">
        <f>VLOOKUP(B121,Уч!$A$2:$L$34,7,FALSE)</f>
        <v>#N/A</v>
      </c>
      <c r="D123" s="528"/>
      <c r="E123" s="509" t="s">
        <v>29</v>
      </c>
      <c r="F123" s="523" t="e">
        <f>VLOOKUP($B121,'100 м 1'!$C$18:$I$87,7,FALSE)</f>
        <v>#N/A</v>
      </c>
      <c r="G123" s="523" t="e">
        <f>VLOOKUP($B121,'длина 2 '!$C$16:$O$54,13,FALSE)</f>
        <v>#N/A</v>
      </c>
      <c r="H123" s="523" t="e">
        <f>VLOOKUP($B121,'ядро 2'!$C$16:$K$60,9,FALSE)</f>
        <v>#N/A</v>
      </c>
      <c r="I123" s="523">
        <f>VLOOKUP($B121,'высота 2'!$C$16:$AF$57,30,)</f>
        <v>0</v>
      </c>
      <c r="J123" s="526"/>
      <c r="K123" s="523"/>
      <c r="L123" s="523"/>
      <c r="M123" s="523"/>
      <c r="N123" s="523"/>
      <c r="O123" s="523"/>
      <c r="P123" s="695"/>
      <c r="Q123" s="676"/>
      <c r="R123" s="695"/>
      <c r="S123" s="523">
        <f>B121</f>
        <v>62</v>
      </c>
      <c r="T123" s="287">
        <f>$A121</f>
        <v>0</v>
      </c>
      <c r="U123" s="287">
        <v>3</v>
      </c>
      <c r="V123" s="287">
        <f>$A121</f>
        <v>0</v>
      </c>
      <c r="W123" s="449"/>
      <c r="X123" s="307"/>
      <c r="Y123" s="307"/>
      <c r="Z123" s="307"/>
      <c r="AA123" s="307"/>
      <c r="AB123" s="307"/>
      <c r="AC123" s="307"/>
      <c r="AD123" s="450"/>
      <c r="AE123" s="450"/>
      <c r="AF123" s="450"/>
      <c r="AH123" s="231"/>
      <c r="AI123" s="231"/>
      <c r="AJ123" s="404">
        <v>460</v>
      </c>
      <c r="AK123" s="231"/>
    </row>
    <row r="124" spans="1:51" s="280" customFormat="1" x14ac:dyDescent="0.35">
      <c r="A124" s="686"/>
      <c r="B124" s="523"/>
      <c r="C124" s="723" t="e">
        <f>VLOOKUP(B121,Уч!$A$2:$L$34,11,FALSE)</f>
        <v>#N/A</v>
      </c>
      <c r="D124" s="528"/>
      <c r="E124" s="509" t="s">
        <v>276</v>
      </c>
      <c r="F124" s="523" t="e">
        <f>F123</f>
        <v>#N/A</v>
      </c>
      <c r="G124" s="523" t="e">
        <f>F124+G123</f>
        <v>#N/A</v>
      </c>
      <c r="H124" s="523" t="e">
        <f>G124+H123</f>
        <v>#N/A</v>
      </c>
      <c r="I124" s="523" t="e">
        <f>H124+I123</f>
        <v>#N/A</v>
      </c>
      <c r="J124" s="526"/>
      <c r="K124" s="523"/>
      <c r="L124" s="523"/>
      <c r="M124" s="523"/>
      <c r="N124" s="523"/>
      <c r="O124" s="523"/>
      <c r="P124" s="695"/>
      <c r="Q124" s="674"/>
      <c r="R124" s="695"/>
      <c r="S124" s="523">
        <f>B121</f>
        <v>62</v>
      </c>
      <c r="T124" s="287">
        <f>$A121</f>
        <v>0</v>
      </c>
      <c r="U124" s="287">
        <v>4</v>
      </c>
      <c r="V124" s="287">
        <f>$A121</f>
        <v>0</v>
      </c>
      <c r="W124" s="372" t="e">
        <f t="shared" ref="W124:AF124" si="21">F124</f>
        <v>#N/A</v>
      </c>
      <c r="X124" s="372" t="e">
        <f t="shared" si="21"/>
        <v>#N/A</v>
      </c>
      <c r="Y124" s="372" t="e">
        <f t="shared" si="21"/>
        <v>#N/A</v>
      </c>
      <c r="Z124" s="372" t="e">
        <f t="shared" si="21"/>
        <v>#N/A</v>
      </c>
      <c r="AA124" s="372">
        <f t="shared" si="21"/>
        <v>0</v>
      </c>
      <c r="AB124" s="372">
        <f t="shared" si="21"/>
        <v>0</v>
      </c>
      <c r="AC124" s="372">
        <f t="shared" si="21"/>
        <v>0</v>
      </c>
      <c r="AD124" s="372">
        <f t="shared" si="21"/>
        <v>0</v>
      </c>
      <c r="AE124" s="372">
        <f t="shared" si="21"/>
        <v>0</v>
      </c>
      <c r="AF124" s="372">
        <f t="shared" si="21"/>
        <v>0</v>
      </c>
      <c r="AH124" s="231"/>
      <c r="AI124" s="231"/>
      <c r="AJ124" s="404">
        <v>460</v>
      </c>
      <c r="AK124" s="231"/>
    </row>
    <row r="125" spans="1:51" s="280" customFormat="1" x14ac:dyDescent="0.25">
      <c r="A125" s="625"/>
      <c r="B125" s="698"/>
      <c r="C125" s="691"/>
      <c r="D125" s="699"/>
      <c r="E125" s="692" t="s">
        <v>59</v>
      </c>
      <c r="F125" s="698" t="e">
        <f>RANK(F124,$W$19:$W$135,0)</f>
        <v>#N/A</v>
      </c>
      <c r="G125" s="698" t="e">
        <f>RANK(G124,$X$19:$X$135,0)</f>
        <v>#N/A</v>
      </c>
      <c r="H125" s="698" t="e">
        <f>RANK(H124,$Y$19:$Y$135,0)</f>
        <v>#N/A</v>
      </c>
      <c r="I125" s="698" t="e">
        <f>RANK(I124,$Z$19:$Z$135,0)</f>
        <v>#N/A</v>
      </c>
      <c r="J125" s="700"/>
      <c r="K125" s="698"/>
      <c r="L125" s="698"/>
      <c r="M125" s="698"/>
      <c r="N125" s="698"/>
      <c r="O125" s="698"/>
      <c r="P125" s="648"/>
      <c r="Q125" s="701"/>
      <c r="R125" s="696"/>
      <c r="S125" s="675">
        <f>B121</f>
        <v>62</v>
      </c>
      <c r="T125" s="287">
        <f>$A121</f>
        <v>0</v>
      </c>
      <c r="U125" s="287">
        <v>5</v>
      </c>
      <c r="V125" s="287">
        <f>$A121</f>
        <v>0</v>
      </c>
      <c r="W125" s="449"/>
      <c r="X125" s="307"/>
      <c r="Y125" s="307"/>
      <c r="Z125" s="307"/>
      <c r="AA125" s="307"/>
      <c r="AB125" s="307"/>
      <c r="AC125" s="307"/>
      <c r="AD125" s="450"/>
      <c r="AE125" s="450"/>
      <c r="AF125" s="450"/>
      <c r="AJ125" s="404">
        <v>460</v>
      </c>
      <c r="AK125" s="231"/>
    </row>
    <row r="126" spans="1:51" s="280" customFormat="1" x14ac:dyDescent="0.35">
      <c r="A126" s="686"/>
      <c r="B126" s="523">
        <v>9</v>
      </c>
      <c r="C126" s="690" t="e">
        <f>VLOOKUP(B126,Уч!$A$2:$L$34,2,FALSE)</f>
        <v>#N/A</v>
      </c>
      <c r="D126" s="528" t="e">
        <f>VLOOKUP(B126,Уч!$A$2:$L$34,3,FALSE)</f>
        <v>#N/A</v>
      </c>
      <c r="E126" s="509" t="s">
        <v>19</v>
      </c>
      <c r="F126" s="670" t="e">
        <f>VLOOKUP($B126,'100 м 1'!$C$18:$I$87,5,FALSE)</f>
        <v>#N/A</v>
      </c>
      <c r="G126" s="670" t="e">
        <f>VLOOKUP($B126,'длина 2 '!$C$16:$O$54,11,FALSE)</f>
        <v>#N/A</v>
      </c>
      <c r="H126" s="670" t="e">
        <f>VLOOKUP($B126,'ядро 2'!$C$16:$K$60,8,FALSE)</f>
        <v>#N/A</v>
      </c>
      <c r="I126" s="680" t="s">
        <v>337</v>
      </c>
      <c r="J126" s="671"/>
      <c r="K126" s="670"/>
      <c r="L126" s="670"/>
      <c r="M126" s="670"/>
      <c r="N126" s="670"/>
      <c r="O126" s="523"/>
      <c r="P126" s="695"/>
      <c r="Q126" s="522"/>
      <c r="R126" s="694"/>
      <c r="S126" s="523">
        <f>B126</f>
        <v>9</v>
      </c>
      <c r="T126" s="287">
        <f>$A126</f>
        <v>0</v>
      </c>
      <c r="U126" s="287">
        <v>1</v>
      </c>
      <c r="V126" s="287">
        <f>$A126</f>
        <v>0</v>
      </c>
      <c r="W126" s="449"/>
      <c r="X126" s="307"/>
      <c r="Y126" s="307"/>
      <c r="Z126" s="307"/>
      <c r="AA126" s="307"/>
      <c r="AB126" s="307"/>
      <c r="AC126" s="307"/>
      <c r="AD126" s="450"/>
      <c r="AE126" s="450"/>
      <c r="AF126" s="450"/>
      <c r="AH126" s="280" t="e">
        <f>IF(AND(T126&gt;16,P126&gt;=6200),"1",LOOKUP(T126,Y$5:AO$5,Y$6:AO$6))</f>
        <v>#N/A</v>
      </c>
      <c r="AI126" s="280" t="e">
        <f>LOOKUP(Q126,Y$8:AD$8,Y$9:AD$9)</f>
        <v>#N/A</v>
      </c>
      <c r="AJ126" s="404">
        <v>180</v>
      </c>
      <c r="AK126" s="231"/>
    </row>
    <row r="127" spans="1:51" s="280" customFormat="1" x14ac:dyDescent="0.35">
      <c r="A127" s="686"/>
      <c r="B127" s="523"/>
      <c r="C127" s="723" t="e">
        <f>VLOOKUP(B126,Уч!$A$2:$L$34,5,FALSE)</f>
        <v>#N/A</v>
      </c>
      <c r="D127" s="528" t="e">
        <f>VLOOKUP(B126,Уч!$A$2:$L$34,4,FALSE)</f>
        <v>#N/A</v>
      </c>
      <c r="E127" s="509" t="s">
        <v>25</v>
      </c>
      <c r="F127" s="672" t="e">
        <f>VLOOKUP($B126,'100 м 1'!$C$18:$I$87,6,FALSE)</f>
        <v>#N/A</v>
      </c>
      <c r="G127" s="672" t="e">
        <f>VLOOKUP($B126,'длина 2 '!$C$16:$O$54,12,FALSE)</f>
        <v>#N/A</v>
      </c>
      <c r="H127" s="523"/>
      <c r="I127" s="681"/>
      <c r="J127" s="673"/>
      <c r="K127" s="672"/>
      <c r="L127" s="672"/>
      <c r="M127" s="672"/>
      <c r="N127" s="523"/>
      <c r="O127" s="523"/>
      <c r="P127" s="695"/>
      <c r="Q127" s="674"/>
      <c r="R127" s="694"/>
      <c r="S127" s="523">
        <f>B126</f>
        <v>9</v>
      </c>
      <c r="T127" s="287">
        <f>$A126</f>
        <v>0</v>
      </c>
      <c r="U127" s="287">
        <v>2</v>
      </c>
      <c r="V127" s="287">
        <f>$A126</f>
        <v>0</v>
      </c>
      <c r="W127" s="449"/>
      <c r="X127" s="307"/>
      <c r="Y127" s="307"/>
      <c r="Z127" s="307"/>
      <c r="AA127" s="307"/>
      <c r="AB127" s="307"/>
      <c r="AC127" s="307"/>
      <c r="AD127" s="450"/>
      <c r="AE127" s="450"/>
      <c r="AF127" s="450"/>
      <c r="AH127" s="231"/>
      <c r="AI127" s="231"/>
      <c r="AJ127" s="404">
        <v>180</v>
      </c>
      <c r="AK127" s="231"/>
    </row>
    <row r="128" spans="1:51" s="280" customFormat="1" x14ac:dyDescent="0.35">
      <c r="A128" s="686"/>
      <c r="B128" s="523"/>
      <c r="C128" s="724" t="e">
        <f>VLOOKUP(B126,Уч!$A$2:$L$34,7,FALSE)</f>
        <v>#N/A</v>
      </c>
      <c r="D128" s="528"/>
      <c r="E128" s="509" t="s">
        <v>29</v>
      </c>
      <c r="F128" s="523" t="e">
        <f>VLOOKUP($B126,'100 м 1'!$C$18:$I$87,7,FALSE)</f>
        <v>#N/A</v>
      </c>
      <c r="G128" s="523" t="e">
        <f>VLOOKUP($B126,'длина 2 '!$C$16:$O$54,13,FALSE)</f>
        <v>#N/A</v>
      </c>
      <c r="H128" s="523" t="e">
        <f>VLOOKUP($B126,'ядро 2'!$C$16:$K$60,9,FALSE)</f>
        <v>#N/A</v>
      </c>
      <c r="I128" s="682"/>
      <c r="J128" s="526"/>
      <c r="K128" s="523"/>
      <c r="L128" s="523"/>
      <c r="M128" s="523"/>
      <c r="N128" s="523"/>
      <c r="O128" s="523"/>
      <c r="P128" s="695"/>
      <c r="Q128" s="676"/>
      <c r="R128" s="695"/>
      <c r="S128" s="523">
        <f>B126</f>
        <v>9</v>
      </c>
      <c r="T128" s="287">
        <f>$A126</f>
        <v>0</v>
      </c>
      <c r="U128" s="287">
        <v>3</v>
      </c>
      <c r="V128" s="287">
        <f>$A126</f>
        <v>0</v>
      </c>
      <c r="W128" s="449"/>
      <c r="X128" s="307"/>
      <c r="Y128" s="307"/>
      <c r="Z128" s="307"/>
      <c r="AA128" s="307"/>
      <c r="AB128" s="307"/>
      <c r="AC128" s="307"/>
      <c r="AD128" s="450"/>
      <c r="AE128" s="450"/>
      <c r="AF128" s="450"/>
      <c r="AH128" s="231"/>
      <c r="AI128" s="231"/>
      <c r="AJ128" s="404">
        <v>180</v>
      </c>
      <c r="AK128" s="231"/>
    </row>
    <row r="129" spans="1:37" s="280" customFormat="1" x14ac:dyDescent="0.35">
      <c r="A129" s="686"/>
      <c r="B129" s="523"/>
      <c r="C129" s="723" t="e">
        <f>VLOOKUP(B126,Уч!$A$2:$L$34,11,FALSE)</f>
        <v>#N/A</v>
      </c>
      <c r="D129" s="528"/>
      <c r="E129" s="509" t="s">
        <v>276</v>
      </c>
      <c r="F129" s="523" t="e">
        <f>F128</f>
        <v>#N/A</v>
      </c>
      <c r="G129" s="523" t="e">
        <f>F129+G128</f>
        <v>#N/A</v>
      </c>
      <c r="H129" s="523" t="e">
        <f>G129+H128</f>
        <v>#N/A</v>
      </c>
      <c r="I129" s="682"/>
      <c r="J129" s="526"/>
      <c r="K129" s="523"/>
      <c r="L129" s="523"/>
      <c r="M129" s="523"/>
      <c r="N129" s="523"/>
      <c r="O129" s="523"/>
      <c r="P129" s="695"/>
      <c r="Q129" s="674"/>
      <c r="R129" s="695"/>
      <c r="S129" s="523">
        <f>B126</f>
        <v>9</v>
      </c>
      <c r="T129" s="287">
        <f>$A126</f>
        <v>0</v>
      </c>
      <c r="U129" s="287">
        <v>4</v>
      </c>
      <c r="V129" s="287">
        <f>$A126</f>
        <v>0</v>
      </c>
      <c r="W129" s="372" t="e">
        <f t="shared" ref="W129:AF129" si="22">F129</f>
        <v>#N/A</v>
      </c>
      <c r="X129" s="372" t="e">
        <f t="shared" si="22"/>
        <v>#N/A</v>
      </c>
      <c r="Y129" s="372" t="e">
        <f t="shared" si="22"/>
        <v>#N/A</v>
      </c>
      <c r="Z129" s="372">
        <f t="shared" si="22"/>
        <v>0</v>
      </c>
      <c r="AA129" s="372">
        <f t="shared" si="22"/>
        <v>0</v>
      </c>
      <c r="AB129" s="372">
        <f t="shared" si="22"/>
        <v>0</v>
      </c>
      <c r="AC129" s="372">
        <f t="shared" si="22"/>
        <v>0</v>
      </c>
      <c r="AD129" s="372">
        <f t="shared" si="22"/>
        <v>0</v>
      </c>
      <c r="AE129" s="372">
        <f t="shared" si="22"/>
        <v>0</v>
      </c>
      <c r="AF129" s="372">
        <f t="shared" si="22"/>
        <v>0</v>
      </c>
      <c r="AH129" s="231"/>
      <c r="AI129" s="231"/>
      <c r="AJ129" s="404">
        <v>180</v>
      </c>
      <c r="AK129" s="231"/>
    </row>
    <row r="130" spans="1:37" s="280" customFormat="1" x14ac:dyDescent="0.25">
      <c r="A130" s="625"/>
      <c r="B130" s="698"/>
      <c r="C130" s="691" t="e">
        <f>VLOOKUP(B126,Уч!$A$2:$L$34,12,FALSE)</f>
        <v>#N/A</v>
      </c>
      <c r="D130" s="699"/>
      <c r="E130" s="692" t="s">
        <v>59</v>
      </c>
      <c r="F130" s="698" t="e">
        <f>RANK(F129,$W$19:$W$135,0)</f>
        <v>#N/A</v>
      </c>
      <c r="G130" s="698" t="e">
        <f>RANK(G129,$X$19:$X$135,0)</f>
        <v>#N/A</v>
      </c>
      <c r="H130" s="698" t="e">
        <f>RANK(H129,$Y$19:$Y$135,0)</f>
        <v>#N/A</v>
      </c>
      <c r="I130" s="702"/>
      <c r="J130" s="700"/>
      <c r="K130" s="698"/>
      <c r="L130" s="698"/>
      <c r="M130" s="698"/>
      <c r="N130" s="698"/>
      <c r="O130" s="698"/>
      <c r="P130" s="648"/>
      <c r="Q130" s="701"/>
      <c r="R130" s="696"/>
      <c r="S130" s="675">
        <f>B126</f>
        <v>9</v>
      </c>
      <c r="T130" s="287">
        <f>$A126</f>
        <v>0</v>
      </c>
      <c r="U130" s="287">
        <v>5</v>
      </c>
      <c r="V130" s="287">
        <f>$A126</f>
        <v>0</v>
      </c>
      <c r="W130" s="449"/>
      <c r="X130" s="307"/>
      <c r="Y130" s="307"/>
      <c r="Z130" s="307"/>
      <c r="AA130" s="307"/>
      <c r="AB130" s="307"/>
      <c r="AC130" s="307"/>
      <c r="AD130" s="450"/>
      <c r="AE130" s="450"/>
      <c r="AF130" s="450"/>
      <c r="AJ130" s="404">
        <v>180</v>
      </c>
      <c r="AK130" s="231"/>
    </row>
    <row r="131" spans="1:37" s="280" customFormat="1" x14ac:dyDescent="0.35">
      <c r="A131" s="686"/>
      <c r="B131" s="682">
        <v>25</v>
      </c>
      <c r="C131" s="690" t="e">
        <f>VLOOKUP(B131,Уч!$A$2:$L$34,2,FALSE)</f>
        <v>#N/A</v>
      </c>
      <c r="D131" s="528" t="e">
        <f>VLOOKUP(B131,Уч!$A$2:$L$34,3,FALSE)</f>
        <v>#N/A</v>
      </c>
      <c r="E131" s="509" t="s">
        <v>19</v>
      </c>
      <c r="F131" s="670">
        <f>VLOOKUP($B131,'100 м 1'!$C$18:$I$87,5,FALSE)</f>
        <v>11.3</v>
      </c>
      <c r="G131" s="670" t="e">
        <f>VLOOKUP($B131,'длина 2 '!$C$16:$O$54,11,FALSE)</f>
        <v>#N/A</v>
      </c>
      <c r="H131" s="670" t="e">
        <f>VLOOKUP($B131,'ядро 2'!$C$16:$K$60,8,FALSE)</f>
        <v>#N/A</v>
      </c>
      <c r="I131" s="670" t="s">
        <v>337</v>
      </c>
      <c r="J131" s="671"/>
      <c r="K131" s="670"/>
      <c r="L131" s="670"/>
      <c r="M131" s="670"/>
      <c r="N131" s="670"/>
      <c r="O131" s="523"/>
      <c r="P131" s="695"/>
      <c r="Q131" s="522"/>
      <c r="R131" s="694"/>
      <c r="S131" s="523">
        <f>B131</f>
        <v>25</v>
      </c>
      <c r="T131" s="287">
        <f>$A131</f>
        <v>0</v>
      </c>
      <c r="U131" s="287">
        <v>1</v>
      </c>
      <c r="V131" s="287">
        <f>$A131</f>
        <v>0</v>
      </c>
      <c r="W131" s="449"/>
      <c r="X131" s="307"/>
      <c r="Y131" s="307"/>
      <c r="Z131" s="307"/>
      <c r="AA131" s="307"/>
      <c r="AB131" s="307"/>
      <c r="AC131" s="307"/>
      <c r="AD131" s="450"/>
      <c r="AE131" s="450"/>
      <c r="AF131" s="450"/>
      <c r="AH131" s="280" t="e">
        <f>IF(AND(T131&gt;16,P131&gt;=6200),"1",LOOKUP(T131,Y$5:AO$5,Y$6:AO$6))</f>
        <v>#N/A</v>
      </c>
      <c r="AI131" s="280" t="e">
        <f>LOOKUP(Q131,Y$8:AD$8,Y$9:AD$9)</f>
        <v>#N/A</v>
      </c>
      <c r="AJ131" s="404">
        <v>315</v>
      </c>
      <c r="AK131" s="231"/>
    </row>
    <row r="132" spans="1:37" s="280" customFormat="1" x14ac:dyDescent="0.35">
      <c r="A132" s="686"/>
      <c r="B132" s="523"/>
      <c r="C132" s="723" t="e">
        <f>VLOOKUP(B131,Уч!$A$2:$L$34,5,FALSE)</f>
        <v>#N/A</v>
      </c>
      <c r="D132" s="683" t="e">
        <f>VLOOKUP(B131,Уч!$A$2:$L$34,4,FALSE)</f>
        <v>#N/A</v>
      </c>
      <c r="E132" s="509" t="s">
        <v>25</v>
      </c>
      <c r="F132" s="672">
        <f>VLOOKUP($B131,'100 м 1'!$C$18:$I$87,6,FALSE)</f>
        <v>1</v>
      </c>
      <c r="G132" s="672" t="e">
        <f>VLOOKUP($B131,'длина 2 '!$C$16:$O$54,12,FALSE)</f>
        <v>#N/A</v>
      </c>
      <c r="H132" s="523"/>
      <c r="I132" s="672"/>
      <c r="J132" s="673"/>
      <c r="K132" s="672"/>
      <c r="L132" s="672"/>
      <c r="M132" s="672"/>
      <c r="N132" s="523"/>
      <c r="O132" s="523"/>
      <c r="P132" s="695"/>
      <c r="Q132" s="674"/>
      <c r="R132" s="694"/>
      <c r="S132" s="523">
        <f>B131</f>
        <v>25</v>
      </c>
      <c r="T132" s="287">
        <f>$A131</f>
        <v>0</v>
      </c>
      <c r="U132" s="287">
        <v>2</v>
      </c>
      <c r="V132" s="287">
        <f>$A131</f>
        <v>0</v>
      </c>
      <c r="W132" s="449"/>
      <c r="X132" s="307"/>
      <c r="Y132" s="307"/>
      <c r="Z132" s="307"/>
      <c r="AA132" s="307"/>
      <c r="AB132" s="307"/>
      <c r="AC132" s="307"/>
      <c r="AD132" s="450"/>
      <c r="AE132" s="450"/>
      <c r="AF132" s="450"/>
      <c r="AH132" s="231"/>
      <c r="AI132" s="231"/>
      <c r="AJ132" s="404">
        <v>315</v>
      </c>
      <c r="AK132" s="231"/>
    </row>
    <row r="133" spans="1:37" s="280" customFormat="1" x14ac:dyDescent="0.35">
      <c r="A133" s="686"/>
      <c r="B133" s="523"/>
      <c r="C133" s="724" t="e">
        <f>VLOOKUP(B131,Уч!$A$2:$L$34,7,FALSE)</f>
        <v>#N/A</v>
      </c>
      <c r="D133" s="528"/>
      <c r="E133" s="509" t="s">
        <v>29</v>
      </c>
      <c r="F133" s="523">
        <f>VLOOKUP($B131,'100 м 1'!$C$18:$I$87,7,FALSE)</f>
        <v>795</v>
      </c>
      <c r="G133" s="523" t="e">
        <f>VLOOKUP($B131,'длина 2 '!$C$16:$O$54,13,FALSE)</f>
        <v>#N/A</v>
      </c>
      <c r="H133" s="523" t="e">
        <f>VLOOKUP($B131,'ядро 2'!$C$16:$K$60,9,FALSE)</f>
        <v>#N/A</v>
      </c>
      <c r="I133" s="523"/>
      <c r="J133" s="526"/>
      <c r="K133" s="523"/>
      <c r="L133" s="523"/>
      <c r="M133" s="523"/>
      <c r="N133" s="523"/>
      <c r="O133" s="523"/>
      <c r="P133" s="695"/>
      <c r="Q133" s="650"/>
      <c r="R133" s="695"/>
      <c r="S133" s="523">
        <f>B131</f>
        <v>25</v>
      </c>
      <c r="T133" s="287">
        <f>$A131</f>
        <v>0</v>
      </c>
      <c r="U133" s="287">
        <v>3</v>
      </c>
      <c r="V133" s="287">
        <f>$A131</f>
        <v>0</v>
      </c>
      <c r="W133" s="449"/>
      <c r="X133" s="307"/>
      <c r="Y133" s="307"/>
      <c r="Z133" s="307"/>
      <c r="AA133" s="307"/>
      <c r="AB133" s="307"/>
      <c r="AC133" s="307"/>
      <c r="AD133" s="450"/>
      <c r="AE133" s="450"/>
      <c r="AF133" s="450"/>
      <c r="AH133" s="231"/>
      <c r="AI133" s="231"/>
      <c r="AJ133" s="404">
        <v>315</v>
      </c>
      <c r="AK133" s="231"/>
    </row>
    <row r="134" spans="1:37" s="280" customFormat="1" x14ac:dyDescent="0.35">
      <c r="A134" s="686"/>
      <c r="B134" s="523"/>
      <c r="C134" s="723" t="e">
        <f>VLOOKUP(B131,Уч!$A$2:$L$34,11,FALSE)</f>
        <v>#N/A</v>
      </c>
      <c r="D134" s="528"/>
      <c r="E134" s="509" t="s">
        <v>276</v>
      </c>
      <c r="F134" s="523">
        <f>F133</f>
        <v>795</v>
      </c>
      <c r="G134" s="523" t="e">
        <f>F134+G133</f>
        <v>#N/A</v>
      </c>
      <c r="H134" s="523" t="e">
        <f>G134+H133</f>
        <v>#N/A</v>
      </c>
      <c r="I134" s="523"/>
      <c r="J134" s="526"/>
      <c r="K134" s="523"/>
      <c r="L134" s="523"/>
      <c r="M134" s="523"/>
      <c r="N134" s="523"/>
      <c r="O134" s="523"/>
      <c r="P134" s="695"/>
      <c r="Q134" s="650"/>
      <c r="R134" s="695"/>
      <c r="S134" s="523">
        <f>B131</f>
        <v>25</v>
      </c>
      <c r="T134" s="287">
        <f>$A131</f>
        <v>0</v>
      </c>
      <c r="U134" s="287">
        <v>4</v>
      </c>
      <c r="V134" s="287">
        <f>$A131</f>
        <v>0</v>
      </c>
      <c r="W134" s="372">
        <f t="shared" ref="W134:AF134" si="23">F134</f>
        <v>795</v>
      </c>
      <c r="X134" s="372" t="e">
        <f t="shared" si="23"/>
        <v>#N/A</v>
      </c>
      <c r="Y134" s="372" t="e">
        <f t="shared" si="23"/>
        <v>#N/A</v>
      </c>
      <c r="Z134" s="372">
        <f t="shared" si="23"/>
        <v>0</v>
      </c>
      <c r="AA134" s="372">
        <f t="shared" si="23"/>
        <v>0</v>
      </c>
      <c r="AB134" s="372">
        <f t="shared" si="23"/>
        <v>0</v>
      </c>
      <c r="AC134" s="372">
        <f t="shared" si="23"/>
        <v>0</v>
      </c>
      <c r="AD134" s="372">
        <f t="shared" si="23"/>
        <v>0</v>
      </c>
      <c r="AE134" s="372">
        <f t="shared" si="23"/>
        <v>0</v>
      </c>
      <c r="AF134" s="372">
        <f t="shared" si="23"/>
        <v>0</v>
      </c>
      <c r="AH134" s="231"/>
      <c r="AI134" s="231"/>
      <c r="AJ134" s="404">
        <v>315</v>
      </c>
      <c r="AK134" s="231"/>
    </row>
    <row r="135" spans="1:37" s="280" customFormat="1" x14ac:dyDescent="0.25">
      <c r="A135" s="625"/>
      <c r="B135" s="698"/>
      <c r="C135" s="691"/>
      <c r="D135" s="699"/>
      <c r="E135" s="692" t="s">
        <v>59</v>
      </c>
      <c r="F135" s="698" t="e">
        <f>RANK(F134,$W$19:$W$135,0)</f>
        <v>#N/A</v>
      </c>
      <c r="G135" s="698" t="e">
        <f>RANK(G134,$X$19:$X$135,0)</f>
        <v>#N/A</v>
      </c>
      <c r="H135" s="698" t="e">
        <f>RANK(H134,$Y$19:$Y$135,0)</f>
        <v>#N/A</v>
      </c>
      <c r="I135" s="698"/>
      <c r="J135" s="700"/>
      <c r="K135" s="698"/>
      <c r="L135" s="698"/>
      <c r="M135" s="698"/>
      <c r="N135" s="698"/>
      <c r="O135" s="698"/>
      <c r="P135" s="648"/>
      <c r="Q135" s="701"/>
      <c r="R135" s="696"/>
      <c r="S135" s="675">
        <f>B131</f>
        <v>25</v>
      </c>
      <c r="T135" s="287">
        <f>$A131</f>
        <v>0</v>
      </c>
      <c r="U135" s="287">
        <v>5</v>
      </c>
      <c r="V135" s="287">
        <f>$A131</f>
        <v>0</v>
      </c>
      <c r="W135" s="449"/>
      <c r="X135" s="307"/>
      <c r="Y135" s="307"/>
      <c r="Z135" s="307"/>
      <c r="AA135" s="307"/>
      <c r="AB135" s="307"/>
      <c r="AC135" s="307"/>
      <c r="AD135" s="450"/>
      <c r="AE135" s="450"/>
      <c r="AF135" s="450"/>
      <c r="AH135" s="231"/>
      <c r="AI135" s="231"/>
      <c r="AJ135" s="404">
        <v>315</v>
      </c>
      <c r="AK135" s="231"/>
    </row>
    <row r="136" spans="1:37" x14ac:dyDescent="0.25">
      <c r="A136" s="576"/>
      <c r="B136" s="711"/>
      <c r="C136" s="576"/>
      <c r="D136" s="684"/>
      <c r="E136" s="576"/>
      <c r="F136" s="576"/>
      <c r="G136" s="711"/>
      <c r="H136" s="711"/>
      <c r="I136" s="576"/>
      <c r="J136" s="576"/>
      <c r="K136" s="711"/>
      <c r="L136" s="711"/>
      <c r="M136" s="711"/>
      <c r="N136" s="711"/>
      <c r="O136" s="711"/>
      <c r="P136" s="666"/>
      <c r="Q136" s="666"/>
      <c r="R136" s="666"/>
      <c r="S136" s="666"/>
    </row>
    <row r="138" spans="1:37" x14ac:dyDescent="0.25">
      <c r="B138" s="250" t="s">
        <v>339</v>
      </c>
      <c r="C138" s="576"/>
      <c r="D138" s="576"/>
      <c r="E138" s="711"/>
      <c r="F138" s="576"/>
      <c r="G138" s="711"/>
      <c r="H138" s="711"/>
      <c r="I138" s="666"/>
      <c r="J138" s="666"/>
      <c r="K138" s="666"/>
      <c r="L138" s="666"/>
      <c r="M138" s="666"/>
      <c r="N138" s="666" t="s">
        <v>340</v>
      </c>
    </row>
    <row r="139" spans="1:37" x14ac:dyDescent="0.25">
      <c r="B139" s="250"/>
      <c r="D139" s="41"/>
      <c r="E139" s="709"/>
      <c r="I139" s="149"/>
      <c r="J139" s="149"/>
      <c r="K139" s="149"/>
      <c r="L139" s="149"/>
      <c r="M139" s="149"/>
      <c r="N139" s="149"/>
    </row>
    <row r="140" spans="1:37" x14ac:dyDescent="0.25">
      <c r="B140" s="250" t="s">
        <v>341</v>
      </c>
      <c r="D140" s="41"/>
      <c r="E140" s="709"/>
      <c r="I140" s="666"/>
      <c r="J140" s="666"/>
      <c r="K140" s="666"/>
      <c r="L140" s="149"/>
      <c r="M140" s="149"/>
      <c r="N140" s="666" t="s">
        <v>342</v>
      </c>
    </row>
    <row r="145" spans="3:10" ht="15.6" x14ac:dyDescent="0.25">
      <c r="C145" s="497"/>
      <c r="D145" s="498"/>
      <c r="E145" s="497"/>
      <c r="F145" s="499"/>
      <c r="G145" s="497"/>
      <c r="H145" s="497"/>
      <c r="I145" s="497"/>
      <c r="J145" s="498"/>
    </row>
    <row r="146" spans="3:10" x14ac:dyDescent="0.25">
      <c r="D146" s="41"/>
      <c r="G146" s="41"/>
      <c r="H146" s="41"/>
    </row>
    <row r="147" spans="3:10" ht="15.6" x14ac:dyDescent="0.25">
      <c r="C147" s="497"/>
      <c r="D147" s="498"/>
      <c r="E147" s="497"/>
      <c r="F147" s="499"/>
      <c r="G147" s="497"/>
      <c r="H147" s="497"/>
      <c r="I147" s="497"/>
      <c r="J147" s="499"/>
    </row>
    <row r="148" spans="3:10" ht="15.6" x14ac:dyDescent="0.25">
      <c r="C148" s="497"/>
      <c r="D148" s="498"/>
      <c r="E148" s="497"/>
      <c r="F148" s="499"/>
      <c r="G148" s="497"/>
      <c r="H148" s="497"/>
      <c r="I148" s="497"/>
      <c r="J148" s="498"/>
    </row>
  </sheetData>
  <sortState ref="A16:AY105">
    <sortCondition ref="T16:T105"/>
  </sortState>
  <mergeCells count="10">
    <mergeCell ref="A1:R1"/>
    <mergeCell ref="A2:R2"/>
    <mergeCell ref="A3:R3"/>
    <mergeCell ref="A4:R4"/>
    <mergeCell ref="A5:R5"/>
    <mergeCell ref="C98:C99"/>
    <mergeCell ref="C113:C114"/>
    <mergeCell ref="C118:C119"/>
    <mergeCell ref="A8:B8"/>
    <mergeCell ref="A6:R6"/>
  </mergeCells>
  <pageMargins left="0.7" right="0.7" top="0.75" bottom="0.75" header="0.3" footer="0.3"/>
  <pageSetup paperSize="9" scale="74" orientation="landscape" verticalDpi="4294967295" r:id="rId1"/>
  <rowBreaks count="2" manualBreakCount="2">
    <brk id="50" max="17" man="1"/>
    <brk id="100" max="17" man="1"/>
  </rowBreaks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30</vt:i4>
      </vt:variant>
      <vt:variant>
        <vt:lpstr>Именованные диапазоны</vt:lpstr>
      </vt:variant>
      <vt:variant>
        <vt:i4>31</vt:i4>
      </vt:variant>
    </vt:vector>
  </HeadingPairs>
  <TitlesOfParts>
    <vt:vector size="61" baseType="lpstr">
      <vt:lpstr>Все (3)</vt:lpstr>
      <vt:lpstr>Все (2)</vt:lpstr>
      <vt:lpstr>READ</vt:lpstr>
      <vt:lpstr>Расп</vt:lpstr>
      <vt:lpstr>Уч</vt:lpstr>
      <vt:lpstr>М+23</vt:lpstr>
      <vt:lpstr>М</vt:lpstr>
      <vt:lpstr>23</vt:lpstr>
      <vt:lpstr>100 м 1</vt:lpstr>
      <vt:lpstr>100 м 2</vt:lpstr>
      <vt:lpstr>Лист4</vt:lpstr>
      <vt:lpstr>длина 2 </vt:lpstr>
      <vt:lpstr>длина 1</vt:lpstr>
      <vt:lpstr>Лист1</vt:lpstr>
      <vt:lpstr>ядро 2</vt:lpstr>
      <vt:lpstr>ядро 1</vt:lpstr>
      <vt:lpstr>Лист2</vt:lpstr>
      <vt:lpstr>высота 2</vt:lpstr>
      <vt:lpstr>высота 1</vt:lpstr>
      <vt:lpstr>Лист3</vt:lpstr>
      <vt:lpstr>4_р</vt:lpstr>
      <vt:lpstr>1cб_р</vt:lpstr>
      <vt:lpstr>Дс_р</vt:lpstr>
      <vt:lpstr>Ш_р</vt:lpstr>
      <vt:lpstr>К_р</vt:lpstr>
      <vt:lpstr>15_р</vt:lpstr>
      <vt:lpstr>Коман</vt:lpstr>
      <vt:lpstr>му</vt:lpstr>
      <vt:lpstr>юн</vt:lpstr>
      <vt:lpstr>Лист7</vt:lpstr>
      <vt:lpstr>'23'!Заголовки_для_печати</vt:lpstr>
      <vt:lpstr>'Все (2)'!Заголовки_для_печати</vt:lpstr>
      <vt:lpstr>'Все (3)'!Заголовки_для_печати</vt:lpstr>
      <vt:lpstr>М!Заголовки_для_печати</vt:lpstr>
      <vt:lpstr>'М+23'!Заголовки_для_печати</vt:lpstr>
      <vt:lpstr>'100 м 1'!Область_печати</vt:lpstr>
      <vt:lpstr>'100 м 2'!Область_печати</vt:lpstr>
      <vt:lpstr>'15_р'!Область_печати</vt:lpstr>
      <vt:lpstr>'1cб_р'!Область_печати</vt:lpstr>
      <vt:lpstr>'23'!Область_печати</vt:lpstr>
      <vt:lpstr>'4_р'!Область_печати</vt:lpstr>
      <vt:lpstr>'Все (2)'!Область_печати</vt:lpstr>
      <vt:lpstr>'Все (3)'!Область_печати</vt:lpstr>
      <vt:lpstr>'высота 1'!Область_печати</vt:lpstr>
      <vt:lpstr>'высота 2'!Область_печати</vt:lpstr>
      <vt:lpstr>'длина 1'!Область_печати</vt:lpstr>
      <vt:lpstr>'длина 2 '!Область_печати</vt:lpstr>
      <vt:lpstr>Дс_р!Область_печати</vt:lpstr>
      <vt:lpstr>К_р!Область_печати</vt:lpstr>
      <vt:lpstr>Лист1!Область_печати</vt:lpstr>
      <vt:lpstr>Лист2!Область_печати</vt:lpstr>
      <vt:lpstr>Лист3!Область_печати</vt:lpstr>
      <vt:lpstr>Лист4!Область_печати</vt:lpstr>
      <vt:lpstr>Лист7!Область_печати</vt:lpstr>
      <vt:lpstr>М!Область_печати</vt:lpstr>
      <vt:lpstr>'М+23'!Область_печати</vt:lpstr>
      <vt:lpstr>му!Область_печати</vt:lpstr>
      <vt:lpstr>Ш_р!Область_печати</vt:lpstr>
      <vt:lpstr>юн!Область_печати</vt:lpstr>
      <vt:lpstr>'ядро 1'!Область_печати</vt:lpstr>
      <vt:lpstr>'ядро 2'!Область_печати</vt:lpstr>
    </vt:vector>
  </TitlesOfParts>
  <Company>АМТЕ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РЕФ</dc:creator>
  <cp:lastModifiedBy>Пользователь Windows</cp:lastModifiedBy>
  <cp:lastPrinted>2019-09-03T16:14:41Z</cp:lastPrinted>
  <dcterms:created xsi:type="dcterms:W3CDTF">2007-07-15T09:19:24Z</dcterms:created>
  <dcterms:modified xsi:type="dcterms:W3CDTF">2019-09-03T19:11:58Z</dcterms:modified>
</cp:coreProperties>
</file>