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-120" yWindow="-120" windowWidth="20736" windowHeight="11760" firstSheet="6" activeTab="8"/>
  </bookViews>
  <sheets>
    <sheet name="READ" sheetId="23" state="hidden" r:id="rId1"/>
    <sheet name="Расп" sheetId="3" state="hidden" r:id="rId2"/>
    <sheet name="Уч" sheetId="1" state="hidden" r:id="rId3"/>
    <sheet name="Ж+ж23" sheetId="61" state="hidden" r:id="rId4"/>
    <sheet name="Ж" sheetId="67" state="hidden" r:id="rId5"/>
    <sheet name="Ж23" sheetId="68" state="hidden" r:id="rId6"/>
    <sheet name="110 сб " sheetId="53" r:id="rId7"/>
    <sheet name="высота" sheetId="45" r:id="rId8"/>
    <sheet name="ядро" sheetId="44" r:id="rId9"/>
    <sheet name="2_р" sheetId="46" state="hidden" r:id="rId10"/>
    <sheet name="Дл_р" sheetId="54" state="hidden" r:id="rId11"/>
    <sheet name="К_р" sheetId="50" state="hidden" r:id="rId12"/>
    <sheet name="8_р" sheetId="51" state="hidden" r:id="rId13"/>
    <sheet name="ком" sheetId="65" state="hidden" r:id="rId14"/>
    <sheet name="жюн" sheetId="69" state="hidden" r:id="rId15"/>
    <sheet name="юн" sheetId="70" state="hidden" r:id="rId16"/>
  </sheets>
  <definedNames>
    <definedName name="_xlnm.Print_Titles" localSheetId="4">Ж!$13:$13</definedName>
    <definedName name="_xlnm.Print_Titles" localSheetId="3">'Ж+ж23'!$13:$13</definedName>
    <definedName name="_xlnm.Print_Titles" localSheetId="5">Ж23!$13:$13</definedName>
    <definedName name="_xlnm.Print_Titles" localSheetId="13">ком!#REF!</definedName>
    <definedName name="_xlnm.Print_Area" localSheetId="6">'110 сб '!$B$1:$I$48</definedName>
    <definedName name="_xlnm.Print_Area" localSheetId="9">'2_р'!$B$1:$H$38</definedName>
    <definedName name="_xlnm.Print_Area" localSheetId="12">'8_р'!$B$1:$H$33</definedName>
    <definedName name="_xlnm.Print_Area" localSheetId="7">высота!$B$1:$AE$36</definedName>
    <definedName name="_xlnm.Print_Area" localSheetId="10">Дл_р!$B$1:$N$33</definedName>
    <definedName name="_xlnm.Print_Area" localSheetId="4">Ж!$A$1:$O$50</definedName>
    <definedName name="_xlnm.Print_Area" localSheetId="3">'Ж+ж23'!$A$1:$O$85</definedName>
    <definedName name="_xlnm.Print_Area" localSheetId="5">Ж23!$A$1:$O$50</definedName>
    <definedName name="_xlnm.Print_Area" localSheetId="14">жюн!$A$1:$O$95</definedName>
    <definedName name="_xlnm.Print_Area" localSheetId="11">К_р!$B$1:$J$34</definedName>
    <definedName name="_xlnm.Print_Area" localSheetId="13">ком!$A$1:$C$24</definedName>
    <definedName name="_xlnm.Print_Area" localSheetId="15">юн!$A$1:$O$65</definedName>
    <definedName name="_xlnm.Print_Area" localSheetId="8">ядро!$B$1:$K$36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5" i="70" l="1"/>
  <c r="C30" i="70"/>
  <c r="S60" i="70" l="1"/>
  <c r="Q60" i="70"/>
  <c r="P60" i="70"/>
  <c r="S59" i="70"/>
  <c r="Q59" i="70"/>
  <c r="P59" i="70"/>
  <c r="C59" i="70"/>
  <c r="S58" i="70"/>
  <c r="Q58" i="70"/>
  <c r="P58" i="70"/>
  <c r="C58" i="70"/>
  <c r="S57" i="70"/>
  <c r="Q57" i="70"/>
  <c r="P57" i="70"/>
  <c r="D57" i="70"/>
  <c r="C57" i="70"/>
  <c r="S56" i="70"/>
  <c r="Q56" i="70"/>
  <c r="P56" i="70"/>
  <c r="D56" i="70"/>
  <c r="C56" i="70"/>
  <c r="S50" i="70"/>
  <c r="Q50" i="70"/>
  <c r="P50" i="70"/>
  <c r="S49" i="70"/>
  <c r="Q49" i="70"/>
  <c r="P49" i="70"/>
  <c r="C49" i="70"/>
  <c r="S48" i="70"/>
  <c r="Q48" i="70"/>
  <c r="P48" i="70"/>
  <c r="H48" i="70"/>
  <c r="G48" i="70"/>
  <c r="F48" i="70"/>
  <c r="F49" i="70" s="1"/>
  <c r="C48" i="70"/>
  <c r="S47" i="70"/>
  <c r="Q47" i="70"/>
  <c r="P47" i="70"/>
  <c r="F47" i="70"/>
  <c r="D47" i="70"/>
  <c r="C47" i="70"/>
  <c r="S46" i="70"/>
  <c r="Q46" i="70"/>
  <c r="P46" i="70"/>
  <c r="H46" i="70"/>
  <c r="G46" i="70"/>
  <c r="F46" i="70"/>
  <c r="D46" i="70"/>
  <c r="C46" i="70"/>
  <c r="S55" i="70"/>
  <c r="Q55" i="70"/>
  <c r="P55" i="70"/>
  <c r="S54" i="70"/>
  <c r="Q54" i="70"/>
  <c r="P54" i="70"/>
  <c r="S53" i="70"/>
  <c r="Q53" i="70"/>
  <c r="P53" i="70"/>
  <c r="H53" i="70"/>
  <c r="G53" i="70"/>
  <c r="F53" i="70"/>
  <c r="F54" i="70" s="1"/>
  <c r="T54" i="70" s="1"/>
  <c r="C53" i="70"/>
  <c r="S52" i="70"/>
  <c r="Q52" i="70"/>
  <c r="P52" i="70"/>
  <c r="F52" i="70"/>
  <c r="D52" i="70"/>
  <c r="C52" i="70"/>
  <c r="S51" i="70"/>
  <c r="Q51" i="70"/>
  <c r="P51" i="70"/>
  <c r="H51" i="70"/>
  <c r="G51" i="70"/>
  <c r="F51" i="70"/>
  <c r="D51" i="70"/>
  <c r="C51" i="70"/>
  <c r="S45" i="70"/>
  <c r="Q45" i="70"/>
  <c r="P45" i="70"/>
  <c r="S44" i="70"/>
  <c r="Q44" i="70"/>
  <c r="P44" i="70"/>
  <c r="C44" i="70"/>
  <c r="S43" i="70"/>
  <c r="Q43" i="70"/>
  <c r="P43" i="70"/>
  <c r="H43" i="70"/>
  <c r="G43" i="70"/>
  <c r="F43" i="70"/>
  <c r="F44" i="70" s="1"/>
  <c r="C43" i="70"/>
  <c r="S42" i="70"/>
  <c r="Q42" i="70"/>
  <c r="P42" i="70"/>
  <c r="I42" i="70"/>
  <c r="F42" i="70"/>
  <c r="D42" i="70"/>
  <c r="C42" i="70"/>
  <c r="S41" i="70"/>
  <c r="Q41" i="70"/>
  <c r="P41" i="70"/>
  <c r="H41" i="70"/>
  <c r="G41" i="70"/>
  <c r="F41" i="70"/>
  <c r="D41" i="70"/>
  <c r="C41" i="70"/>
  <c r="S40" i="70"/>
  <c r="Q40" i="70"/>
  <c r="P40" i="70"/>
  <c r="S39" i="70"/>
  <c r="Q39" i="70"/>
  <c r="P39" i="70"/>
  <c r="C39" i="70"/>
  <c r="S38" i="70"/>
  <c r="Q38" i="70"/>
  <c r="P38" i="70"/>
  <c r="F38" i="70"/>
  <c r="F39" i="70" s="1"/>
  <c r="C38" i="70"/>
  <c r="S37" i="70"/>
  <c r="Q37" i="70"/>
  <c r="P37" i="70"/>
  <c r="F37" i="70"/>
  <c r="D37" i="70"/>
  <c r="C37" i="70"/>
  <c r="S36" i="70"/>
  <c r="Q36" i="70"/>
  <c r="P36" i="70"/>
  <c r="F36" i="70"/>
  <c r="D36" i="70"/>
  <c r="C36" i="70"/>
  <c r="S35" i="70"/>
  <c r="Q35" i="70"/>
  <c r="P35" i="70"/>
  <c r="S34" i="70"/>
  <c r="Q34" i="70"/>
  <c r="P34" i="70"/>
  <c r="C34" i="70"/>
  <c r="S33" i="70"/>
  <c r="Q33" i="70"/>
  <c r="P33" i="70"/>
  <c r="H33" i="70"/>
  <c r="G33" i="70"/>
  <c r="F33" i="70"/>
  <c r="F34" i="70" s="1"/>
  <c r="T34" i="70" s="1"/>
  <c r="C33" i="70"/>
  <c r="S32" i="70"/>
  <c r="Q32" i="70"/>
  <c r="P32" i="70"/>
  <c r="F32" i="70"/>
  <c r="D32" i="70"/>
  <c r="C32" i="70"/>
  <c r="S31" i="70"/>
  <c r="Q31" i="70"/>
  <c r="P31" i="70"/>
  <c r="H31" i="70"/>
  <c r="G31" i="70"/>
  <c r="F31" i="70"/>
  <c r="D31" i="70"/>
  <c r="C31" i="70"/>
  <c r="S30" i="70"/>
  <c r="Q30" i="70"/>
  <c r="P30" i="70"/>
  <c r="S29" i="70"/>
  <c r="Q29" i="70"/>
  <c r="P29" i="70"/>
  <c r="S28" i="70"/>
  <c r="Q28" i="70"/>
  <c r="P28" i="70"/>
  <c r="H28" i="70"/>
  <c r="G28" i="70"/>
  <c r="C28" i="70"/>
  <c r="S27" i="70"/>
  <c r="Q27" i="70"/>
  <c r="P27" i="70"/>
  <c r="D27" i="70"/>
  <c r="C27" i="70"/>
  <c r="S26" i="70"/>
  <c r="Q26" i="70"/>
  <c r="P26" i="70"/>
  <c r="H26" i="70"/>
  <c r="G26" i="70"/>
  <c r="D26" i="70"/>
  <c r="C26" i="70"/>
  <c r="S25" i="70"/>
  <c r="Q25" i="70"/>
  <c r="P25" i="70"/>
  <c r="S24" i="70"/>
  <c r="Q24" i="70"/>
  <c r="P24" i="70"/>
  <c r="C24" i="70"/>
  <c r="S23" i="70"/>
  <c r="Q23" i="70"/>
  <c r="P23" i="70"/>
  <c r="H23" i="70"/>
  <c r="G23" i="70"/>
  <c r="C23" i="70"/>
  <c r="S22" i="70"/>
  <c r="Q22" i="70"/>
  <c r="P22" i="70"/>
  <c r="D22" i="70"/>
  <c r="C22" i="70"/>
  <c r="S21" i="70"/>
  <c r="Q21" i="70"/>
  <c r="P21" i="70"/>
  <c r="H21" i="70"/>
  <c r="G21" i="70"/>
  <c r="D21" i="70"/>
  <c r="C21" i="70"/>
  <c r="S20" i="70"/>
  <c r="Q20" i="70"/>
  <c r="P20" i="70"/>
  <c r="S19" i="70"/>
  <c r="Q19" i="70"/>
  <c r="P19" i="70"/>
  <c r="C19" i="70"/>
  <c r="S18" i="70"/>
  <c r="Q18" i="70"/>
  <c r="P18" i="70"/>
  <c r="H18" i="70"/>
  <c r="G18" i="70"/>
  <c r="F18" i="70"/>
  <c r="F19" i="70" s="1"/>
  <c r="C18" i="70"/>
  <c r="S17" i="70"/>
  <c r="Q17" i="70"/>
  <c r="P17" i="70"/>
  <c r="F17" i="70"/>
  <c r="D17" i="70"/>
  <c r="C17" i="70"/>
  <c r="S16" i="70"/>
  <c r="Q16" i="70"/>
  <c r="P16" i="70"/>
  <c r="H16" i="70"/>
  <c r="G16" i="70"/>
  <c r="F16" i="70"/>
  <c r="D16" i="70"/>
  <c r="C16" i="70"/>
  <c r="K12" i="70"/>
  <c r="J12" i="70"/>
  <c r="A12" i="70"/>
  <c r="N11" i="70"/>
  <c r="K11" i="70"/>
  <c r="J11" i="70"/>
  <c r="A11" i="70"/>
  <c r="N10" i="70"/>
  <c r="K10" i="70"/>
  <c r="J10" i="70"/>
  <c r="A10" i="70"/>
  <c r="O9" i="70"/>
  <c r="N9" i="70"/>
  <c r="K9" i="70"/>
  <c r="J9" i="70"/>
  <c r="A9" i="70"/>
  <c r="N8" i="70"/>
  <c r="J8" i="70"/>
  <c r="A4" i="70"/>
  <c r="A3" i="70"/>
  <c r="A2" i="70"/>
  <c r="A1" i="70"/>
  <c r="G44" i="70" l="1"/>
  <c r="T44" i="70"/>
  <c r="G19" i="70"/>
  <c r="T19" i="70"/>
  <c r="T39" i="70"/>
  <c r="G49" i="70"/>
  <c r="T49" i="70"/>
  <c r="G34" i="70"/>
  <c r="G54" i="70"/>
  <c r="H54" i="70" l="1"/>
  <c r="U54" i="70"/>
  <c r="H49" i="70"/>
  <c r="U49" i="70"/>
  <c r="H34" i="70"/>
  <c r="U34" i="70"/>
  <c r="H19" i="70"/>
  <c r="U19" i="70"/>
  <c r="T59" i="70"/>
  <c r="U44" i="70"/>
  <c r="H44" i="70"/>
  <c r="V34" i="70" l="1"/>
  <c r="U59" i="70"/>
  <c r="F55" i="70"/>
  <c r="F20" i="70"/>
  <c r="F50" i="70"/>
  <c r="F45" i="70"/>
  <c r="G50" i="70"/>
  <c r="F40" i="70"/>
  <c r="V44" i="70"/>
  <c r="V19" i="70"/>
  <c r="V49" i="70"/>
  <c r="V54" i="70"/>
  <c r="F35" i="70"/>
  <c r="G45" i="70" l="1"/>
  <c r="G55" i="70"/>
  <c r="G35" i="70"/>
  <c r="V59" i="70"/>
  <c r="H20" i="70" s="1"/>
  <c r="G20" i="70"/>
  <c r="H35" i="70" l="1"/>
  <c r="H55" i="70"/>
  <c r="H45" i="70"/>
  <c r="W59" i="70"/>
  <c r="H50" i="70"/>
  <c r="X59" i="70" l="1"/>
  <c r="Y59" i="70" l="1"/>
  <c r="E18" i="51" l="1"/>
  <c r="F18" i="51"/>
  <c r="K29" i="51"/>
  <c r="K28" i="51"/>
  <c r="K27" i="51"/>
  <c r="K26" i="51"/>
  <c r="K25" i="51"/>
  <c r="K24" i="51"/>
  <c r="K23" i="51"/>
  <c r="K22" i="51"/>
  <c r="K21" i="51"/>
  <c r="K20" i="51"/>
  <c r="K19" i="51"/>
  <c r="K18" i="51"/>
  <c r="K17" i="51"/>
  <c r="D28" i="51"/>
  <c r="E28" i="51"/>
  <c r="F28" i="51"/>
  <c r="G28" i="51"/>
  <c r="H28" i="51"/>
  <c r="D29" i="51"/>
  <c r="E29" i="51"/>
  <c r="F29" i="51"/>
  <c r="G29" i="51"/>
  <c r="H29" i="51"/>
  <c r="B10" i="54"/>
  <c r="P65" i="69"/>
  <c r="P64" i="69"/>
  <c r="C64" i="69"/>
  <c r="P63" i="69"/>
  <c r="F63" i="69"/>
  <c r="F64" i="69" s="1"/>
  <c r="C63" i="69"/>
  <c r="P62" i="69"/>
  <c r="F62" i="69"/>
  <c r="D62" i="69"/>
  <c r="C62" i="69"/>
  <c r="P61" i="69"/>
  <c r="F61" i="69"/>
  <c r="D61" i="69"/>
  <c r="C61" i="69"/>
  <c r="P25" i="69"/>
  <c r="P24" i="69"/>
  <c r="C24" i="69"/>
  <c r="P23" i="69"/>
  <c r="C23" i="69"/>
  <c r="P22" i="69"/>
  <c r="D22" i="69"/>
  <c r="C22" i="69"/>
  <c r="P21" i="69"/>
  <c r="D21" i="69"/>
  <c r="C21" i="69"/>
  <c r="P30" i="69"/>
  <c r="P29" i="69"/>
  <c r="C29" i="69"/>
  <c r="P28" i="69"/>
  <c r="F28" i="69"/>
  <c r="F29" i="69" s="1"/>
  <c r="C28" i="69"/>
  <c r="P27" i="69"/>
  <c r="F27" i="69"/>
  <c r="D27" i="69"/>
  <c r="C27" i="69"/>
  <c r="P26" i="69"/>
  <c r="F26" i="69"/>
  <c r="D26" i="69"/>
  <c r="C26" i="69"/>
  <c r="P35" i="69"/>
  <c r="P34" i="69"/>
  <c r="C34" i="69"/>
  <c r="P33" i="69"/>
  <c r="C33" i="69"/>
  <c r="P32" i="69"/>
  <c r="D32" i="69"/>
  <c r="C32" i="69"/>
  <c r="P31" i="69"/>
  <c r="D31" i="69"/>
  <c r="C31" i="69"/>
  <c r="P20" i="69"/>
  <c r="P19" i="69"/>
  <c r="C19" i="69"/>
  <c r="P18" i="69"/>
  <c r="F18" i="69"/>
  <c r="F19" i="69" s="1"/>
  <c r="C18" i="69"/>
  <c r="P17" i="69"/>
  <c r="F17" i="69"/>
  <c r="D17" i="69"/>
  <c r="C17" i="69"/>
  <c r="P16" i="69"/>
  <c r="F16" i="69"/>
  <c r="D16" i="69"/>
  <c r="C16" i="69"/>
  <c r="P85" i="69"/>
  <c r="P84" i="69"/>
  <c r="C84" i="69"/>
  <c r="P83" i="69"/>
  <c r="F83" i="69"/>
  <c r="F84" i="69" s="1"/>
  <c r="C83" i="69"/>
  <c r="P82" i="69"/>
  <c r="F82" i="69"/>
  <c r="D82" i="69"/>
  <c r="C82" i="69"/>
  <c r="P81" i="69"/>
  <c r="F81" i="69"/>
  <c r="D81" i="69"/>
  <c r="C81" i="69"/>
  <c r="P50" i="69"/>
  <c r="P49" i="69"/>
  <c r="C49" i="69"/>
  <c r="P48" i="69"/>
  <c r="F48" i="69"/>
  <c r="F49" i="69" s="1"/>
  <c r="C48" i="69"/>
  <c r="P47" i="69"/>
  <c r="F47" i="69"/>
  <c r="D47" i="69"/>
  <c r="C47" i="69"/>
  <c r="P46" i="69"/>
  <c r="F46" i="69"/>
  <c r="D46" i="69"/>
  <c r="C46" i="69"/>
  <c r="P70" i="69"/>
  <c r="P69" i="69"/>
  <c r="C69" i="69"/>
  <c r="P68" i="69"/>
  <c r="F68" i="69"/>
  <c r="F69" i="69" s="1"/>
  <c r="C68" i="69"/>
  <c r="P67" i="69"/>
  <c r="I67" i="69"/>
  <c r="F67" i="69"/>
  <c r="D67" i="69"/>
  <c r="C67" i="69"/>
  <c r="P66" i="69"/>
  <c r="F66" i="69"/>
  <c r="D66" i="69"/>
  <c r="C66" i="69"/>
  <c r="P80" i="69"/>
  <c r="P79" i="69"/>
  <c r="C79" i="69"/>
  <c r="P78" i="69"/>
  <c r="F78" i="69"/>
  <c r="F79" i="69" s="1"/>
  <c r="C78" i="69"/>
  <c r="P77" i="69"/>
  <c r="F77" i="69"/>
  <c r="D77" i="69"/>
  <c r="C77" i="69"/>
  <c r="P76" i="69"/>
  <c r="F76" i="69"/>
  <c r="D76" i="69"/>
  <c r="C76" i="69"/>
  <c r="P60" i="69"/>
  <c r="P59" i="69"/>
  <c r="C59" i="69"/>
  <c r="P58" i="69"/>
  <c r="F58" i="69"/>
  <c r="F59" i="69" s="1"/>
  <c r="C58" i="69"/>
  <c r="P57" i="69"/>
  <c r="F57" i="69"/>
  <c r="D57" i="69"/>
  <c r="C57" i="69"/>
  <c r="P56" i="69"/>
  <c r="F56" i="69"/>
  <c r="D56" i="69"/>
  <c r="C56" i="69"/>
  <c r="P75" i="69"/>
  <c r="P74" i="69"/>
  <c r="C74" i="69"/>
  <c r="P73" i="69"/>
  <c r="F73" i="69"/>
  <c r="F74" i="69" s="1"/>
  <c r="C73" i="69"/>
  <c r="P72" i="69"/>
  <c r="F72" i="69"/>
  <c r="D72" i="69"/>
  <c r="C72" i="69"/>
  <c r="P71" i="69"/>
  <c r="F71" i="69"/>
  <c r="D71" i="69"/>
  <c r="C71" i="69"/>
  <c r="P45" i="69"/>
  <c r="P44" i="69"/>
  <c r="C44" i="69"/>
  <c r="P43" i="69"/>
  <c r="C43" i="69"/>
  <c r="P42" i="69"/>
  <c r="D42" i="69"/>
  <c r="C42" i="69"/>
  <c r="P41" i="69"/>
  <c r="D41" i="69"/>
  <c r="C41" i="69"/>
  <c r="P90" i="69"/>
  <c r="P89" i="69"/>
  <c r="C89" i="69"/>
  <c r="P88" i="69"/>
  <c r="C88" i="69"/>
  <c r="P87" i="69"/>
  <c r="D87" i="69"/>
  <c r="C87" i="69"/>
  <c r="P86" i="69"/>
  <c r="D86" i="69"/>
  <c r="C86" i="69"/>
  <c r="P40" i="69"/>
  <c r="C40" i="69"/>
  <c r="P39" i="69"/>
  <c r="C39" i="69"/>
  <c r="P38" i="69"/>
  <c r="C38" i="69"/>
  <c r="P37" i="69"/>
  <c r="D37" i="69"/>
  <c r="C37" i="69"/>
  <c r="P36" i="69"/>
  <c r="D36" i="69"/>
  <c r="C36" i="69"/>
  <c r="P55" i="69"/>
  <c r="P54" i="69"/>
  <c r="C54" i="69"/>
  <c r="P53" i="69"/>
  <c r="F53" i="69"/>
  <c r="F54" i="69" s="1"/>
  <c r="C53" i="69"/>
  <c r="P52" i="69"/>
  <c r="F52" i="69"/>
  <c r="D52" i="69"/>
  <c r="C52" i="69"/>
  <c r="P51" i="69"/>
  <c r="F51" i="69"/>
  <c r="D51" i="69"/>
  <c r="C51" i="69"/>
  <c r="K12" i="69"/>
  <c r="J12" i="69"/>
  <c r="A12" i="69"/>
  <c r="N11" i="69"/>
  <c r="K11" i="69"/>
  <c r="J11" i="69"/>
  <c r="B11" i="69"/>
  <c r="A11" i="69"/>
  <c r="N10" i="69"/>
  <c r="K10" i="69"/>
  <c r="J10" i="69"/>
  <c r="B10" i="69"/>
  <c r="A10" i="69"/>
  <c r="O9" i="69"/>
  <c r="N9" i="69"/>
  <c r="K9" i="69"/>
  <c r="J9" i="69"/>
  <c r="B9" i="69"/>
  <c r="A9" i="69"/>
  <c r="N8" i="69"/>
  <c r="J8" i="69"/>
  <c r="C8" i="69"/>
  <c r="A8" i="69"/>
  <c r="A4" i="69"/>
  <c r="A3" i="69"/>
  <c r="A2" i="69"/>
  <c r="A1" i="69"/>
  <c r="K12" i="68"/>
  <c r="J12" i="68"/>
  <c r="O11" i="68"/>
  <c r="N11" i="68"/>
  <c r="K11" i="68"/>
  <c r="J11" i="68"/>
  <c r="O10" i="68"/>
  <c r="N10" i="68"/>
  <c r="K10" i="68"/>
  <c r="J10" i="68"/>
  <c r="O9" i="68"/>
  <c r="N9" i="68"/>
  <c r="K9" i="68"/>
  <c r="J9" i="68"/>
  <c r="N8" i="68"/>
  <c r="J8" i="68"/>
  <c r="A4" i="68"/>
  <c r="A3" i="68"/>
  <c r="A2" i="68"/>
  <c r="A1" i="68"/>
  <c r="A12" i="68"/>
  <c r="B11" i="68"/>
  <c r="B10" i="68"/>
  <c r="B9" i="68"/>
  <c r="A11" i="68"/>
  <c r="A10" i="68"/>
  <c r="A9" i="68"/>
  <c r="A8" i="68"/>
  <c r="K12" i="67"/>
  <c r="J12" i="67"/>
  <c r="O11" i="67"/>
  <c r="N11" i="67"/>
  <c r="K11" i="67"/>
  <c r="J11" i="67"/>
  <c r="O10" i="67"/>
  <c r="N10" i="67"/>
  <c r="K10" i="67"/>
  <c r="J10" i="67"/>
  <c r="O9" i="67"/>
  <c r="N9" i="67"/>
  <c r="K9" i="67"/>
  <c r="J9" i="67"/>
  <c r="N8" i="67"/>
  <c r="J8" i="67"/>
  <c r="A4" i="67"/>
  <c r="A3" i="67"/>
  <c r="B11" i="67"/>
  <c r="B10" i="67"/>
  <c r="B9" i="67"/>
  <c r="A11" i="67"/>
  <c r="A10" i="67"/>
  <c r="A9" i="67"/>
  <c r="A12" i="67"/>
  <c r="Q89" i="69" l="1"/>
  <c r="T64" i="69"/>
  <c r="T74" i="69"/>
  <c r="T69" i="69"/>
  <c r="T59" i="69"/>
  <c r="T49" i="69"/>
  <c r="T29" i="69"/>
  <c r="T89" i="69"/>
  <c r="T79" i="69"/>
  <c r="T84" i="69"/>
  <c r="T54" i="69"/>
  <c r="T19" i="69"/>
  <c r="J12" i="61"/>
  <c r="J11" i="61"/>
  <c r="J10" i="61"/>
  <c r="J9" i="61"/>
  <c r="K12" i="61"/>
  <c r="K11" i="61"/>
  <c r="K10" i="61"/>
  <c r="K9" i="61"/>
  <c r="J8" i="61"/>
  <c r="O11" i="61"/>
  <c r="O10" i="61"/>
  <c r="O9" i="61"/>
  <c r="N11" i="61"/>
  <c r="N10" i="61"/>
  <c r="N9" i="61"/>
  <c r="N8" i="61"/>
  <c r="C8" i="61"/>
  <c r="B11" i="61"/>
  <c r="B10" i="61"/>
  <c r="B9" i="61"/>
  <c r="A8" i="61"/>
  <c r="A9" i="61"/>
  <c r="A10" i="61"/>
  <c r="A11" i="61"/>
  <c r="A4" i="61"/>
  <c r="A12" i="61"/>
  <c r="A3" i="61"/>
  <c r="B13" i="51"/>
  <c r="B12" i="51"/>
  <c r="B5" i="50"/>
  <c r="B5" i="54"/>
  <c r="B5" i="46"/>
  <c r="G13" i="51"/>
  <c r="G12" i="51"/>
  <c r="H12" i="51"/>
  <c r="B7" i="50"/>
  <c r="I14" i="50"/>
  <c r="I13" i="50"/>
  <c r="J13" i="50"/>
  <c r="B13" i="50"/>
  <c r="B14" i="50"/>
  <c r="B4" i="50"/>
  <c r="B3" i="50"/>
  <c r="N10" i="54"/>
  <c r="M11" i="54"/>
  <c r="M10" i="54"/>
  <c r="B11" i="54"/>
  <c r="B7" i="54"/>
  <c r="B4" i="54"/>
  <c r="B3" i="54"/>
  <c r="B2" i="54"/>
  <c r="B1" i="54"/>
  <c r="G13" i="46"/>
  <c r="G11" i="46"/>
  <c r="H11" i="46"/>
  <c r="B13" i="46"/>
  <c r="B7" i="46"/>
  <c r="B4" i="46"/>
  <c r="B3" i="46"/>
  <c r="B2" i="46"/>
  <c r="B1" i="46"/>
  <c r="B2" i="50"/>
  <c r="I10" i="50"/>
  <c r="F12" i="46"/>
  <c r="Z59" i="70" l="1"/>
  <c r="Z54" i="70"/>
  <c r="F30" i="69"/>
  <c r="F50" i="69"/>
  <c r="F75" i="69"/>
  <c r="F55" i="69"/>
  <c r="F85" i="69"/>
  <c r="F60" i="69"/>
  <c r="F65" i="69"/>
  <c r="F20" i="69"/>
  <c r="F80" i="69"/>
  <c r="F70" i="69"/>
  <c r="S29" i="69"/>
  <c r="Q50" i="69"/>
  <c r="S34" i="69"/>
  <c r="S31" i="69"/>
  <c r="Q35" i="69"/>
  <c r="S25" i="69"/>
  <c r="Q22" i="69"/>
  <c r="S22" i="69"/>
  <c r="S21" i="69"/>
  <c r="S24" i="69"/>
  <c r="Q33" i="69"/>
  <c r="Q31" i="69"/>
  <c r="S47" i="69"/>
  <c r="Q30" i="69"/>
  <c r="S26" i="69"/>
  <c r="S27" i="69"/>
  <c r="Q27" i="69"/>
  <c r="Q24" i="69"/>
  <c r="Q23" i="69"/>
  <c r="S32" i="69"/>
  <c r="S23" i="69"/>
  <c r="Q34" i="69"/>
  <c r="Q47" i="69"/>
  <c r="Q32" i="69"/>
  <c r="S35" i="69"/>
  <c r="Q25" i="69"/>
  <c r="Q21" i="69"/>
  <c r="S33" i="69"/>
  <c r="S49" i="69"/>
  <c r="Q78" i="69"/>
  <c r="Q58" i="69"/>
  <c r="Q60" i="69"/>
  <c r="S79" i="69"/>
  <c r="Q77" i="69"/>
  <c r="Q76" i="69"/>
  <c r="S78" i="69"/>
  <c r="S77" i="69"/>
  <c r="S76" i="69"/>
  <c r="Q80" i="69"/>
  <c r="S80" i="69"/>
  <c r="S56" i="69"/>
  <c r="S59" i="69"/>
  <c r="S68" i="69"/>
  <c r="Q56" i="69"/>
  <c r="Q59" i="69"/>
  <c r="Q57" i="69"/>
  <c r="S57" i="69"/>
  <c r="S58" i="69"/>
  <c r="Q87" i="69"/>
  <c r="S87" i="69"/>
  <c r="Q88" i="69"/>
  <c r="S88" i="69"/>
  <c r="S90" i="69"/>
  <c r="S86" i="69"/>
  <c r="S89" i="69"/>
  <c r="Q90" i="69"/>
  <c r="Q86" i="69"/>
  <c r="Q39" i="69"/>
  <c r="Q63" i="69"/>
  <c r="Q55" i="69"/>
  <c r="U84" i="69"/>
  <c r="I18" i="46"/>
  <c r="H27" i="51"/>
  <c r="G27" i="51"/>
  <c r="F27" i="51"/>
  <c r="E27" i="51"/>
  <c r="D27" i="51"/>
  <c r="H26" i="51"/>
  <c r="G26" i="51"/>
  <c r="F26" i="51"/>
  <c r="E26" i="51"/>
  <c r="D26" i="51"/>
  <c r="H25" i="51"/>
  <c r="G25" i="51"/>
  <c r="F25" i="51"/>
  <c r="E25" i="51"/>
  <c r="D25" i="51"/>
  <c r="X29" i="54"/>
  <c r="X23" i="54"/>
  <c r="X19" i="54"/>
  <c r="X28" i="54"/>
  <c r="X27" i="54"/>
  <c r="X21" i="54"/>
  <c r="X18" i="54"/>
  <c r="X24" i="54"/>
  <c r="X25" i="54"/>
  <c r="X17" i="54"/>
  <c r="X20" i="54"/>
  <c r="X26" i="54"/>
  <c r="X22" i="54"/>
  <c r="H34" i="46"/>
  <c r="I73" i="69" l="1"/>
  <c r="I48" i="70"/>
  <c r="I49" i="70" s="1"/>
  <c r="AC56" i="70"/>
  <c r="AD56" i="70"/>
  <c r="AD51" i="70"/>
  <c r="AC51" i="70"/>
  <c r="M46" i="70"/>
  <c r="L36" i="69"/>
  <c r="L26" i="69"/>
  <c r="S48" i="69"/>
  <c r="Q46" i="69"/>
  <c r="Q26" i="69"/>
  <c r="Q48" i="69"/>
  <c r="S50" i="69"/>
  <c r="Q49" i="69"/>
  <c r="S46" i="69"/>
  <c r="Q29" i="69"/>
  <c r="Q28" i="69"/>
  <c r="S30" i="69"/>
  <c r="S28" i="69"/>
  <c r="Q19" i="69"/>
  <c r="Q16" i="69"/>
  <c r="Q18" i="69"/>
  <c r="Q20" i="69"/>
  <c r="S16" i="69"/>
  <c r="S20" i="69"/>
  <c r="S18" i="69"/>
  <c r="S19" i="69"/>
  <c r="S17" i="69"/>
  <c r="Q17" i="69"/>
  <c r="S70" i="69"/>
  <c r="S36" i="69"/>
  <c r="S66" i="69"/>
  <c r="S38" i="69"/>
  <c r="Q67" i="69"/>
  <c r="S67" i="69"/>
  <c r="Q65" i="69"/>
  <c r="S69" i="69"/>
  <c r="Q70" i="69"/>
  <c r="Q68" i="69"/>
  <c r="S85" i="69"/>
  <c r="Q81" i="69"/>
  <c r="Q85" i="69"/>
  <c r="S84" i="69"/>
  <c r="S83" i="69"/>
  <c r="Q83" i="69"/>
  <c r="Q82" i="69"/>
  <c r="Q84" i="69"/>
  <c r="S82" i="69"/>
  <c r="S81" i="69"/>
  <c r="S40" i="69"/>
  <c r="Q69" i="69"/>
  <c r="Q66" i="69"/>
  <c r="Q54" i="69"/>
  <c r="Q75" i="69"/>
  <c r="S74" i="69"/>
  <c r="Q73" i="69"/>
  <c r="Q71" i="69"/>
  <c r="Q72" i="69"/>
  <c r="Q74" i="69"/>
  <c r="S75" i="69"/>
  <c r="S72" i="69"/>
  <c r="S71" i="69"/>
  <c r="S73" i="69"/>
  <c r="S53" i="69"/>
  <c r="Q52" i="69"/>
  <c r="S51" i="69"/>
  <c r="S55" i="69"/>
  <c r="S52" i="69"/>
  <c r="Q53" i="69"/>
  <c r="S44" i="69"/>
  <c r="S43" i="69"/>
  <c r="Q45" i="69"/>
  <c r="Q44" i="69"/>
  <c r="S45" i="69"/>
  <c r="Q42" i="69"/>
  <c r="Q41" i="69"/>
  <c r="S41" i="69"/>
  <c r="S42" i="69"/>
  <c r="Q43" i="69"/>
  <c r="Q62" i="69"/>
  <c r="S65" i="69"/>
  <c r="S61" i="69"/>
  <c r="S54" i="69"/>
  <c r="S62" i="69"/>
  <c r="S64" i="69"/>
  <c r="Q37" i="69"/>
  <c r="S39" i="69"/>
  <c r="S37" i="69"/>
  <c r="Q38" i="69"/>
  <c r="Q36" i="69"/>
  <c r="Q40" i="69"/>
  <c r="Q61" i="69"/>
  <c r="S63" i="69"/>
  <c r="Q64" i="69"/>
  <c r="Q51" i="69"/>
  <c r="Q102" i="68"/>
  <c r="C102" i="68"/>
  <c r="Q101" i="68"/>
  <c r="C101" i="68"/>
  <c r="Q100" i="68"/>
  <c r="L100" i="68"/>
  <c r="K100" i="68"/>
  <c r="J100" i="68"/>
  <c r="I100" i="68"/>
  <c r="H100" i="68"/>
  <c r="G100" i="68"/>
  <c r="F100" i="68"/>
  <c r="F101" i="68" s="1"/>
  <c r="D100" i="68"/>
  <c r="C100" i="68"/>
  <c r="Q99" i="68"/>
  <c r="L99" i="68"/>
  <c r="K99" i="68"/>
  <c r="J99" i="68"/>
  <c r="I99" i="68"/>
  <c r="H99" i="68"/>
  <c r="G99" i="68"/>
  <c r="F99" i="68"/>
  <c r="D99" i="68"/>
  <c r="C99" i="68"/>
  <c r="Q98" i="68"/>
  <c r="C98" i="68"/>
  <c r="Q97" i="68"/>
  <c r="C97" i="68"/>
  <c r="Q96" i="68"/>
  <c r="L96" i="68"/>
  <c r="K96" i="68"/>
  <c r="J96" i="68"/>
  <c r="I96" i="68"/>
  <c r="H96" i="68"/>
  <c r="G96" i="68"/>
  <c r="F96" i="68"/>
  <c r="F97" i="68" s="1"/>
  <c r="T97" i="68" s="1"/>
  <c r="D96" i="68"/>
  <c r="C96" i="68"/>
  <c r="Q95" i="68"/>
  <c r="L95" i="68"/>
  <c r="K95" i="68"/>
  <c r="J95" i="68"/>
  <c r="I95" i="68"/>
  <c r="H95" i="68"/>
  <c r="G95" i="68"/>
  <c r="F95" i="68"/>
  <c r="D95" i="68"/>
  <c r="C95" i="68"/>
  <c r="P90" i="68"/>
  <c r="C90" i="68"/>
  <c r="P89" i="68"/>
  <c r="C89" i="68"/>
  <c r="P88" i="68"/>
  <c r="L88" i="68"/>
  <c r="K88" i="68"/>
  <c r="J88" i="68"/>
  <c r="I88" i="68"/>
  <c r="H88" i="68"/>
  <c r="C88" i="68"/>
  <c r="P87" i="68"/>
  <c r="J87" i="68"/>
  <c r="I87" i="68"/>
  <c r="D87" i="68"/>
  <c r="C87" i="68"/>
  <c r="P86" i="68"/>
  <c r="L86" i="68"/>
  <c r="K86" i="68"/>
  <c r="J86" i="68"/>
  <c r="I86" i="68"/>
  <c r="H86" i="68"/>
  <c r="D86" i="68"/>
  <c r="C86" i="68"/>
  <c r="P85" i="68"/>
  <c r="C85" i="68"/>
  <c r="P84" i="68"/>
  <c r="C84" i="68"/>
  <c r="P83" i="68"/>
  <c r="L83" i="68"/>
  <c r="K83" i="68"/>
  <c r="J83" i="68"/>
  <c r="I83" i="68"/>
  <c r="G83" i="68"/>
  <c r="F83" i="68"/>
  <c r="F84" i="68" s="1"/>
  <c r="C83" i="68"/>
  <c r="P82" i="68"/>
  <c r="J82" i="68"/>
  <c r="I82" i="68"/>
  <c r="F82" i="68"/>
  <c r="D82" i="68"/>
  <c r="C82" i="68"/>
  <c r="P81" i="68"/>
  <c r="L81" i="68"/>
  <c r="K81" i="68"/>
  <c r="J81" i="68"/>
  <c r="I81" i="68"/>
  <c r="G81" i="68"/>
  <c r="F81" i="68"/>
  <c r="D81" i="68"/>
  <c r="C81" i="68"/>
  <c r="P80" i="68"/>
  <c r="C80" i="68"/>
  <c r="P79" i="68"/>
  <c r="C79" i="68"/>
  <c r="P78" i="68"/>
  <c r="L78" i="68"/>
  <c r="K78" i="68"/>
  <c r="J78" i="68"/>
  <c r="I78" i="68"/>
  <c r="H78" i="68"/>
  <c r="G78" i="68"/>
  <c r="F78" i="68"/>
  <c r="F79" i="68" s="1"/>
  <c r="C78" i="68"/>
  <c r="P77" i="68"/>
  <c r="J77" i="68"/>
  <c r="I77" i="68"/>
  <c r="F77" i="68"/>
  <c r="D77" i="68"/>
  <c r="C77" i="68"/>
  <c r="P76" i="68"/>
  <c r="L76" i="68"/>
  <c r="K76" i="68"/>
  <c r="J76" i="68"/>
  <c r="I76" i="68"/>
  <c r="H76" i="68"/>
  <c r="G76" i="68"/>
  <c r="F76" i="68"/>
  <c r="D76" i="68"/>
  <c r="C76" i="68"/>
  <c r="P75" i="68"/>
  <c r="C75" i="68"/>
  <c r="P74" i="68"/>
  <c r="C74" i="68"/>
  <c r="P73" i="68"/>
  <c r="L73" i="68"/>
  <c r="K73" i="68"/>
  <c r="J73" i="68"/>
  <c r="I73" i="68"/>
  <c r="F73" i="68"/>
  <c r="F74" i="68" s="1"/>
  <c r="C73" i="68"/>
  <c r="P72" i="68"/>
  <c r="J72" i="68"/>
  <c r="I72" i="68"/>
  <c r="F72" i="68"/>
  <c r="D72" i="68"/>
  <c r="C72" i="68"/>
  <c r="P71" i="68"/>
  <c r="L71" i="68"/>
  <c r="K71" i="68"/>
  <c r="J71" i="68"/>
  <c r="I71" i="68"/>
  <c r="F71" i="68"/>
  <c r="D71" i="68"/>
  <c r="C71" i="68"/>
  <c r="P70" i="68"/>
  <c r="C70" i="68"/>
  <c r="P69" i="68"/>
  <c r="C69" i="68"/>
  <c r="P68" i="68"/>
  <c r="K68" i="68"/>
  <c r="I68" i="68"/>
  <c r="H68" i="68"/>
  <c r="G68" i="68"/>
  <c r="F68" i="68"/>
  <c r="F69" i="68" s="1"/>
  <c r="C68" i="68"/>
  <c r="P67" i="68"/>
  <c r="I67" i="68"/>
  <c r="F67" i="68"/>
  <c r="D67" i="68"/>
  <c r="C67" i="68"/>
  <c r="P66" i="68"/>
  <c r="K66" i="68"/>
  <c r="I66" i="68"/>
  <c r="H66" i="68"/>
  <c r="G66" i="68"/>
  <c r="F66" i="68"/>
  <c r="D66" i="68"/>
  <c r="C66" i="68"/>
  <c r="P65" i="68"/>
  <c r="C65" i="68"/>
  <c r="P64" i="68"/>
  <c r="C64" i="68"/>
  <c r="P63" i="68"/>
  <c r="L63" i="68"/>
  <c r="K63" i="68"/>
  <c r="J63" i="68"/>
  <c r="I63" i="68"/>
  <c r="H63" i="68"/>
  <c r="C63" i="68"/>
  <c r="P62" i="68"/>
  <c r="J62" i="68"/>
  <c r="I62" i="68"/>
  <c r="D62" i="68"/>
  <c r="C62" i="68"/>
  <c r="P61" i="68"/>
  <c r="L61" i="68"/>
  <c r="K61" i="68"/>
  <c r="J61" i="68"/>
  <c r="I61" i="68"/>
  <c r="H61" i="68"/>
  <c r="D61" i="68"/>
  <c r="C61" i="68"/>
  <c r="P60" i="68"/>
  <c r="C60" i="68"/>
  <c r="P59" i="68"/>
  <c r="C59" i="68"/>
  <c r="P58" i="68"/>
  <c r="L58" i="68"/>
  <c r="K58" i="68"/>
  <c r="J58" i="68"/>
  <c r="I58" i="68"/>
  <c r="H58" i="68"/>
  <c r="G58" i="68"/>
  <c r="F58" i="68"/>
  <c r="F59" i="68" s="1"/>
  <c r="C58" i="68"/>
  <c r="P57" i="68"/>
  <c r="J57" i="68"/>
  <c r="I57" i="68"/>
  <c r="F57" i="68"/>
  <c r="D57" i="68"/>
  <c r="C57" i="68"/>
  <c r="P56" i="68"/>
  <c r="L56" i="68"/>
  <c r="K56" i="68"/>
  <c r="J56" i="68"/>
  <c r="I56" i="68"/>
  <c r="H56" i="68"/>
  <c r="G56" i="68"/>
  <c r="F56" i="68"/>
  <c r="D56" i="68"/>
  <c r="C56" i="68"/>
  <c r="P55" i="68"/>
  <c r="C55" i="68"/>
  <c r="P54" i="68"/>
  <c r="C54" i="68"/>
  <c r="P53" i="68"/>
  <c r="K53" i="68"/>
  <c r="J53" i="68"/>
  <c r="I53" i="68"/>
  <c r="H53" i="68"/>
  <c r="G53" i="68"/>
  <c r="F53" i="68"/>
  <c r="F54" i="68" s="1"/>
  <c r="C53" i="68"/>
  <c r="P52" i="68"/>
  <c r="J52" i="68"/>
  <c r="I52" i="68"/>
  <c r="F52" i="68"/>
  <c r="D52" i="68"/>
  <c r="C52" i="68"/>
  <c r="P51" i="68"/>
  <c r="K51" i="68"/>
  <c r="J51" i="68"/>
  <c r="I51" i="68"/>
  <c r="H51" i="68"/>
  <c r="G51" i="68"/>
  <c r="F51" i="68"/>
  <c r="D51" i="68"/>
  <c r="C51" i="68"/>
  <c r="P40" i="68"/>
  <c r="C40" i="68"/>
  <c r="P39" i="68"/>
  <c r="C39" i="68"/>
  <c r="P38" i="68"/>
  <c r="C38" i="68"/>
  <c r="P37" i="68"/>
  <c r="D37" i="68"/>
  <c r="C37" i="68"/>
  <c r="P36" i="68"/>
  <c r="D36" i="68"/>
  <c r="C36" i="68"/>
  <c r="P35" i="68"/>
  <c r="C35" i="68"/>
  <c r="P34" i="68"/>
  <c r="C34" i="68"/>
  <c r="P33" i="68"/>
  <c r="C33" i="68"/>
  <c r="P32" i="68"/>
  <c r="D32" i="68"/>
  <c r="C32" i="68"/>
  <c r="P31" i="68"/>
  <c r="D31" i="68"/>
  <c r="C31" i="68"/>
  <c r="P30" i="68"/>
  <c r="C30" i="68"/>
  <c r="P29" i="68"/>
  <c r="C29" i="68"/>
  <c r="P28" i="68"/>
  <c r="L28" i="68"/>
  <c r="C28" i="68"/>
  <c r="P27" i="68"/>
  <c r="D27" i="68"/>
  <c r="C27" i="68"/>
  <c r="P26" i="68"/>
  <c r="L26" i="68"/>
  <c r="D26" i="68"/>
  <c r="C26" i="68"/>
  <c r="P50" i="68"/>
  <c r="C50" i="68"/>
  <c r="P49" i="68"/>
  <c r="C49" i="68"/>
  <c r="P48" i="68"/>
  <c r="C48" i="68"/>
  <c r="P47" i="68"/>
  <c r="D47" i="68"/>
  <c r="C47" i="68"/>
  <c r="P46" i="68"/>
  <c r="D46" i="68"/>
  <c r="C46" i="68"/>
  <c r="P25" i="68"/>
  <c r="C25" i="68"/>
  <c r="P24" i="68"/>
  <c r="C24" i="68"/>
  <c r="P23" i="68"/>
  <c r="L23" i="68"/>
  <c r="C23" i="68"/>
  <c r="P22" i="68"/>
  <c r="D22" i="68"/>
  <c r="C22" i="68"/>
  <c r="P21" i="68"/>
  <c r="L21" i="68"/>
  <c r="D21" i="68"/>
  <c r="C21" i="68"/>
  <c r="P45" i="68"/>
  <c r="C45" i="68"/>
  <c r="P44" i="68"/>
  <c r="C44" i="68"/>
  <c r="P43" i="68"/>
  <c r="C43" i="68"/>
  <c r="P42" i="68"/>
  <c r="D42" i="68"/>
  <c r="C42" i="68"/>
  <c r="P41" i="68"/>
  <c r="D41" i="68"/>
  <c r="C41" i="68"/>
  <c r="P20" i="68"/>
  <c r="C20" i="68"/>
  <c r="P19" i="68"/>
  <c r="C19" i="68"/>
  <c r="P18" i="68"/>
  <c r="C18" i="68"/>
  <c r="P17" i="68"/>
  <c r="D17" i="68"/>
  <c r="C17" i="68"/>
  <c r="P16" i="68"/>
  <c r="D16" i="68"/>
  <c r="C16" i="68"/>
  <c r="Q102" i="67"/>
  <c r="C102" i="67"/>
  <c r="Q101" i="67"/>
  <c r="C101" i="67"/>
  <c r="Q100" i="67"/>
  <c r="L100" i="67"/>
  <c r="K100" i="67"/>
  <c r="J100" i="67"/>
  <c r="I100" i="67"/>
  <c r="H100" i="67"/>
  <c r="G100" i="67"/>
  <c r="F100" i="67"/>
  <c r="F101" i="67" s="1"/>
  <c r="D100" i="67"/>
  <c r="C100" i="67"/>
  <c r="Q99" i="67"/>
  <c r="L99" i="67"/>
  <c r="K99" i="67"/>
  <c r="J99" i="67"/>
  <c r="I99" i="67"/>
  <c r="H99" i="67"/>
  <c r="G99" i="67"/>
  <c r="F99" i="67"/>
  <c r="D99" i="67"/>
  <c r="C99" i="67"/>
  <c r="Q98" i="67"/>
  <c r="C98" i="67"/>
  <c r="Q97" i="67"/>
  <c r="C97" i="67"/>
  <c r="Q96" i="67"/>
  <c r="L96" i="67"/>
  <c r="K96" i="67"/>
  <c r="J96" i="67"/>
  <c r="I96" i="67"/>
  <c r="H96" i="67"/>
  <c r="G96" i="67"/>
  <c r="F96" i="67"/>
  <c r="F97" i="67" s="1"/>
  <c r="T97" i="67" s="1"/>
  <c r="D96" i="67"/>
  <c r="C96" i="67"/>
  <c r="Q95" i="67"/>
  <c r="L95" i="67"/>
  <c r="K95" i="67"/>
  <c r="J95" i="67"/>
  <c r="I95" i="67"/>
  <c r="H95" i="67"/>
  <c r="G95" i="67"/>
  <c r="F95" i="67"/>
  <c r="D95" i="67"/>
  <c r="C95" i="67"/>
  <c r="P90" i="67"/>
  <c r="C90" i="67"/>
  <c r="P89" i="67"/>
  <c r="C89" i="67"/>
  <c r="P88" i="67"/>
  <c r="L88" i="67"/>
  <c r="K88" i="67"/>
  <c r="J88" i="67"/>
  <c r="I88" i="67"/>
  <c r="H88" i="67"/>
  <c r="C88" i="67"/>
  <c r="P87" i="67"/>
  <c r="J87" i="67"/>
  <c r="I87" i="67"/>
  <c r="D87" i="67"/>
  <c r="C87" i="67"/>
  <c r="P86" i="67"/>
  <c r="L86" i="67"/>
  <c r="K86" i="67"/>
  <c r="J86" i="67"/>
  <c r="I86" i="67"/>
  <c r="H86" i="67"/>
  <c r="D86" i="67"/>
  <c r="C86" i="67"/>
  <c r="P85" i="67"/>
  <c r="C85" i="67"/>
  <c r="P84" i="67"/>
  <c r="C84" i="67"/>
  <c r="P83" i="67"/>
  <c r="L83" i="67"/>
  <c r="K83" i="67"/>
  <c r="J83" i="67"/>
  <c r="I83" i="67"/>
  <c r="G83" i="67"/>
  <c r="F83" i="67"/>
  <c r="F84" i="67" s="1"/>
  <c r="C83" i="67"/>
  <c r="P82" i="67"/>
  <c r="J82" i="67"/>
  <c r="I82" i="67"/>
  <c r="F82" i="67"/>
  <c r="D82" i="67"/>
  <c r="C82" i="67"/>
  <c r="P81" i="67"/>
  <c r="L81" i="67"/>
  <c r="K81" i="67"/>
  <c r="J81" i="67"/>
  <c r="I81" i="67"/>
  <c r="G81" i="67"/>
  <c r="F81" i="67"/>
  <c r="D81" i="67"/>
  <c r="C81" i="67"/>
  <c r="P80" i="67"/>
  <c r="C80" i="67"/>
  <c r="P79" i="67"/>
  <c r="C79" i="67"/>
  <c r="P78" i="67"/>
  <c r="L78" i="67"/>
  <c r="K78" i="67"/>
  <c r="J78" i="67"/>
  <c r="I78" i="67"/>
  <c r="H78" i="67"/>
  <c r="G78" i="67"/>
  <c r="F78" i="67"/>
  <c r="F79" i="67" s="1"/>
  <c r="C78" i="67"/>
  <c r="P77" i="67"/>
  <c r="J77" i="67"/>
  <c r="I77" i="67"/>
  <c r="F77" i="67"/>
  <c r="D77" i="67"/>
  <c r="C77" i="67"/>
  <c r="P76" i="67"/>
  <c r="L76" i="67"/>
  <c r="K76" i="67"/>
  <c r="J76" i="67"/>
  <c r="I76" i="67"/>
  <c r="H76" i="67"/>
  <c r="G76" i="67"/>
  <c r="F76" i="67"/>
  <c r="D76" i="67"/>
  <c r="C76" i="67"/>
  <c r="P75" i="67"/>
  <c r="C75" i="67"/>
  <c r="P74" i="67"/>
  <c r="C74" i="67"/>
  <c r="P73" i="67"/>
  <c r="L73" i="67"/>
  <c r="K73" i="67"/>
  <c r="J73" i="67"/>
  <c r="I73" i="67"/>
  <c r="F73" i="67"/>
  <c r="F74" i="67" s="1"/>
  <c r="C73" i="67"/>
  <c r="P72" i="67"/>
  <c r="J72" i="67"/>
  <c r="I72" i="67"/>
  <c r="F72" i="67"/>
  <c r="D72" i="67"/>
  <c r="C72" i="67"/>
  <c r="P71" i="67"/>
  <c r="L71" i="67"/>
  <c r="K71" i="67"/>
  <c r="J71" i="67"/>
  <c r="I71" i="67"/>
  <c r="F71" i="67"/>
  <c r="D71" i="67"/>
  <c r="C71" i="67"/>
  <c r="P70" i="67"/>
  <c r="C70" i="67"/>
  <c r="P69" i="67"/>
  <c r="C69" i="67"/>
  <c r="P68" i="67"/>
  <c r="K68" i="67"/>
  <c r="I68" i="67"/>
  <c r="H68" i="67"/>
  <c r="G68" i="67"/>
  <c r="F68" i="67"/>
  <c r="F69" i="67" s="1"/>
  <c r="C68" i="67"/>
  <c r="P67" i="67"/>
  <c r="I67" i="67"/>
  <c r="F67" i="67"/>
  <c r="D67" i="67"/>
  <c r="C67" i="67"/>
  <c r="P66" i="67"/>
  <c r="K66" i="67"/>
  <c r="I66" i="67"/>
  <c r="H66" i="67"/>
  <c r="G66" i="67"/>
  <c r="F66" i="67"/>
  <c r="D66" i="67"/>
  <c r="C66" i="67"/>
  <c r="P65" i="67"/>
  <c r="C65" i="67"/>
  <c r="P64" i="67"/>
  <c r="C64" i="67"/>
  <c r="P63" i="67"/>
  <c r="L63" i="67"/>
  <c r="K63" i="67"/>
  <c r="J63" i="67"/>
  <c r="I63" i="67"/>
  <c r="H63" i="67"/>
  <c r="C63" i="67"/>
  <c r="P62" i="67"/>
  <c r="J62" i="67"/>
  <c r="I62" i="67"/>
  <c r="D62" i="67"/>
  <c r="C62" i="67"/>
  <c r="P61" i="67"/>
  <c r="L61" i="67"/>
  <c r="K61" i="67"/>
  <c r="J61" i="67"/>
  <c r="I61" i="67"/>
  <c r="H61" i="67"/>
  <c r="D61" i="67"/>
  <c r="C61" i="67"/>
  <c r="P60" i="67"/>
  <c r="C60" i="67"/>
  <c r="P59" i="67"/>
  <c r="C59" i="67"/>
  <c r="P58" i="67"/>
  <c r="L58" i="67"/>
  <c r="K58" i="67"/>
  <c r="J58" i="67"/>
  <c r="I58" i="67"/>
  <c r="H58" i="67"/>
  <c r="G58" i="67"/>
  <c r="F58" i="67"/>
  <c r="F59" i="67" s="1"/>
  <c r="C58" i="67"/>
  <c r="P57" i="67"/>
  <c r="J57" i="67"/>
  <c r="I57" i="67"/>
  <c r="F57" i="67"/>
  <c r="D57" i="67"/>
  <c r="C57" i="67"/>
  <c r="P56" i="67"/>
  <c r="L56" i="67"/>
  <c r="K56" i="67"/>
  <c r="J56" i="67"/>
  <c r="I56" i="67"/>
  <c r="H56" i="67"/>
  <c r="G56" i="67"/>
  <c r="F56" i="67"/>
  <c r="D56" i="67"/>
  <c r="C56" i="67"/>
  <c r="P55" i="67"/>
  <c r="C55" i="67"/>
  <c r="P54" i="67"/>
  <c r="C54" i="67"/>
  <c r="P53" i="67"/>
  <c r="K53" i="67"/>
  <c r="J53" i="67"/>
  <c r="I53" i="67"/>
  <c r="H53" i="67"/>
  <c r="G53" i="67"/>
  <c r="F53" i="67"/>
  <c r="F54" i="67" s="1"/>
  <c r="C53" i="67"/>
  <c r="P52" i="67"/>
  <c r="J52" i="67"/>
  <c r="I52" i="67"/>
  <c r="F52" i="67"/>
  <c r="D52" i="67"/>
  <c r="C52" i="67"/>
  <c r="P51" i="67"/>
  <c r="K51" i="67"/>
  <c r="J51" i="67"/>
  <c r="I51" i="67"/>
  <c r="H51" i="67"/>
  <c r="G51" i="67"/>
  <c r="F51" i="67"/>
  <c r="D51" i="67"/>
  <c r="C51" i="67"/>
  <c r="P50" i="67"/>
  <c r="C50" i="67"/>
  <c r="P49" i="67"/>
  <c r="C49" i="67"/>
  <c r="P48" i="67"/>
  <c r="C48" i="67"/>
  <c r="P47" i="67"/>
  <c r="D47" i="67"/>
  <c r="C47" i="67"/>
  <c r="P46" i="67"/>
  <c r="D46" i="67"/>
  <c r="C46" i="67"/>
  <c r="P40" i="67"/>
  <c r="C40" i="67"/>
  <c r="P39" i="67"/>
  <c r="C39" i="67"/>
  <c r="P38" i="67"/>
  <c r="C38" i="67"/>
  <c r="P37" i="67"/>
  <c r="D37" i="67"/>
  <c r="C37" i="67"/>
  <c r="P36" i="67"/>
  <c r="D36" i="67"/>
  <c r="C36" i="67"/>
  <c r="P45" i="67"/>
  <c r="C45" i="67"/>
  <c r="P44" i="67"/>
  <c r="C44" i="67"/>
  <c r="P43" i="67"/>
  <c r="C43" i="67"/>
  <c r="P42" i="67"/>
  <c r="I42" i="67"/>
  <c r="D42" i="67"/>
  <c r="C42" i="67"/>
  <c r="P41" i="67"/>
  <c r="D41" i="67"/>
  <c r="C41" i="67"/>
  <c r="P20" i="67"/>
  <c r="C20" i="67"/>
  <c r="P19" i="67"/>
  <c r="C19" i="67"/>
  <c r="P18" i="67"/>
  <c r="C18" i="67"/>
  <c r="P17" i="67"/>
  <c r="D17" i="67"/>
  <c r="C17" i="67"/>
  <c r="P16" i="67"/>
  <c r="D16" i="67"/>
  <c r="C16" i="67"/>
  <c r="P25" i="67"/>
  <c r="C25" i="67"/>
  <c r="P24" i="67"/>
  <c r="C24" i="67"/>
  <c r="P23" i="67"/>
  <c r="C23" i="67"/>
  <c r="P22" i="67"/>
  <c r="D22" i="67"/>
  <c r="C22" i="67"/>
  <c r="P21" i="67"/>
  <c r="D21" i="67"/>
  <c r="C21" i="67"/>
  <c r="P35" i="67"/>
  <c r="C35" i="67"/>
  <c r="P34" i="67"/>
  <c r="C34" i="67"/>
  <c r="P33" i="67"/>
  <c r="C33" i="67"/>
  <c r="P32" i="67"/>
  <c r="D32" i="67"/>
  <c r="C32" i="67"/>
  <c r="P31" i="67"/>
  <c r="D31" i="67"/>
  <c r="C31" i="67"/>
  <c r="P30" i="67"/>
  <c r="C30" i="67"/>
  <c r="P29" i="67"/>
  <c r="C29" i="67"/>
  <c r="P28" i="67"/>
  <c r="C28" i="67"/>
  <c r="P27" i="67"/>
  <c r="D27" i="67"/>
  <c r="C27" i="67"/>
  <c r="P26" i="67"/>
  <c r="D26" i="67"/>
  <c r="C26" i="67"/>
  <c r="A2" i="67"/>
  <c r="A1" i="67"/>
  <c r="K135" i="61"/>
  <c r="K134" i="61"/>
  <c r="K131" i="61"/>
  <c r="K130" i="61"/>
  <c r="K123" i="61"/>
  <c r="K121" i="61"/>
  <c r="K118" i="61"/>
  <c r="K116" i="61"/>
  <c r="K113" i="61"/>
  <c r="K111" i="61"/>
  <c r="K108" i="61"/>
  <c r="K106" i="61"/>
  <c r="K103" i="61"/>
  <c r="K101" i="61"/>
  <c r="K98" i="61"/>
  <c r="K96" i="61"/>
  <c r="K93" i="61"/>
  <c r="K91" i="61"/>
  <c r="K88" i="61"/>
  <c r="K86" i="61"/>
  <c r="C125" i="61"/>
  <c r="C124" i="61"/>
  <c r="C123" i="61"/>
  <c r="D122" i="61"/>
  <c r="C122" i="61"/>
  <c r="D121" i="61"/>
  <c r="C121" i="61"/>
  <c r="C120" i="61"/>
  <c r="C119" i="61"/>
  <c r="C118" i="61"/>
  <c r="D117" i="61"/>
  <c r="C117" i="61"/>
  <c r="D116" i="61"/>
  <c r="C116" i="61"/>
  <c r="C115" i="61"/>
  <c r="C114" i="61"/>
  <c r="C113" i="61"/>
  <c r="D112" i="61"/>
  <c r="C112" i="61"/>
  <c r="D111" i="61"/>
  <c r="C111" i="61"/>
  <c r="C110" i="61"/>
  <c r="C109" i="61"/>
  <c r="C108" i="61"/>
  <c r="D107" i="61"/>
  <c r="C107" i="61"/>
  <c r="D106" i="61"/>
  <c r="C106" i="61"/>
  <c r="C105" i="61"/>
  <c r="C104" i="61"/>
  <c r="C103" i="61"/>
  <c r="D102" i="61"/>
  <c r="C102" i="61"/>
  <c r="D101" i="61"/>
  <c r="C101" i="61"/>
  <c r="C100" i="61"/>
  <c r="C99" i="61"/>
  <c r="C98" i="61"/>
  <c r="D97" i="61"/>
  <c r="C97" i="61"/>
  <c r="D96" i="61"/>
  <c r="C96" i="61"/>
  <c r="C95" i="61"/>
  <c r="C94" i="61"/>
  <c r="C93" i="61"/>
  <c r="D92" i="61"/>
  <c r="C92" i="61"/>
  <c r="D91" i="61"/>
  <c r="C91" i="61"/>
  <c r="C90" i="61"/>
  <c r="C89" i="61"/>
  <c r="C88" i="61"/>
  <c r="D87" i="61"/>
  <c r="C87" i="61"/>
  <c r="D86" i="61"/>
  <c r="C86" i="61"/>
  <c r="C85" i="61"/>
  <c r="C84" i="61"/>
  <c r="C83" i="61"/>
  <c r="D82" i="61"/>
  <c r="C82" i="61"/>
  <c r="D81" i="61"/>
  <c r="C81" i="61"/>
  <c r="C80" i="61"/>
  <c r="C79" i="61"/>
  <c r="C78" i="61"/>
  <c r="D77" i="61"/>
  <c r="C77" i="61"/>
  <c r="D76" i="61"/>
  <c r="C76" i="61"/>
  <c r="C75" i="61"/>
  <c r="C74" i="61"/>
  <c r="C73" i="61"/>
  <c r="D72" i="61"/>
  <c r="C72" i="61"/>
  <c r="D71" i="61"/>
  <c r="C71" i="61"/>
  <c r="C70" i="61"/>
  <c r="C69" i="61"/>
  <c r="C68" i="61"/>
  <c r="D67" i="61"/>
  <c r="C67" i="61"/>
  <c r="D66" i="61"/>
  <c r="C66" i="61"/>
  <c r="C65" i="61"/>
  <c r="C64" i="61"/>
  <c r="C63" i="61"/>
  <c r="D62" i="61"/>
  <c r="C62" i="61"/>
  <c r="D61" i="61"/>
  <c r="C61" i="61"/>
  <c r="C60" i="61"/>
  <c r="C59" i="61"/>
  <c r="C58" i="61"/>
  <c r="D57" i="61"/>
  <c r="C57" i="61"/>
  <c r="D56" i="61"/>
  <c r="C56" i="61"/>
  <c r="C55" i="61"/>
  <c r="C54" i="61"/>
  <c r="C53" i="61"/>
  <c r="D52" i="61"/>
  <c r="C52" i="61"/>
  <c r="D51" i="61"/>
  <c r="C51" i="61"/>
  <c r="C50" i="61"/>
  <c r="C49" i="61"/>
  <c r="C48" i="61"/>
  <c r="D47" i="61"/>
  <c r="C47" i="61"/>
  <c r="D46" i="61"/>
  <c r="C46" i="61"/>
  <c r="C45" i="61"/>
  <c r="C44" i="61"/>
  <c r="C43" i="61"/>
  <c r="D42" i="61"/>
  <c r="C42" i="61"/>
  <c r="D41" i="61"/>
  <c r="C41" i="61"/>
  <c r="C40" i="61"/>
  <c r="C39" i="61"/>
  <c r="C38" i="61"/>
  <c r="D37" i="61"/>
  <c r="C37" i="61"/>
  <c r="D36" i="61"/>
  <c r="C36" i="61"/>
  <c r="C35" i="61"/>
  <c r="C34" i="61"/>
  <c r="C33" i="61"/>
  <c r="D32" i="61"/>
  <c r="C32" i="61"/>
  <c r="D31" i="61"/>
  <c r="C31" i="61"/>
  <c r="C30" i="61"/>
  <c r="C29" i="61"/>
  <c r="C28" i="61"/>
  <c r="D27" i="61"/>
  <c r="C27" i="61"/>
  <c r="D26" i="61"/>
  <c r="C26" i="61"/>
  <c r="C25" i="61"/>
  <c r="C24" i="61"/>
  <c r="C23" i="61"/>
  <c r="D22" i="61"/>
  <c r="C22" i="61"/>
  <c r="D21" i="61"/>
  <c r="C21" i="61"/>
  <c r="C20" i="61"/>
  <c r="C19" i="61"/>
  <c r="C18" i="61"/>
  <c r="D17" i="61"/>
  <c r="C17" i="61"/>
  <c r="D16" i="61"/>
  <c r="C16" i="61"/>
  <c r="W49" i="70" l="1"/>
  <c r="I50" i="70"/>
  <c r="AC46" i="70"/>
  <c r="N46" i="70"/>
  <c r="AD46" i="70" s="1"/>
  <c r="G54" i="67"/>
  <c r="U54" i="67" s="1"/>
  <c r="G84" i="67"/>
  <c r="U84" i="67" s="1"/>
  <c r="M71" i="67"/>
  <c r="M81" i="67"/>
  <c r="M71" i="68"/>
  <c r="M81" i="68"/>
  <c r="G54" i="68"/>
  <c r="U54" i="68" s="1"/>
  <c r="G84" i="68"/>
  <c r="G85" i="68" s="1"/>
  <c r="M51" i="68"/>
  <c r="M51" i="67"/>
  <c r="F60" i="68"/>
  <c r="T59" i="68"/>
  <c r="F70" i="68"/>
  <c r="T69" i="68"/>
  <c r="F80" i="68"/>
  <c r="T79" i="68"/>
  <c r="F102" i="68"/>
  <c r="T101" i="68"/>
  <c r="T54" i="68"/>
  <c r="G59" i="68"/>
  <c r="G69" i="68"/>
  <c r="T74" i="68"/>
  <c r="G79" i="68"/>
  <c r="T84" i="68"/>
  <c r="F55" i="68"/>
  <c r="M56" i="68"/>
  <c r="M66" i="68"/>
  <c r="F75" i="68"/>
  <c r="M76" i="68"/>
  <c r="F85" i="68"/>
  <c r="G97" i="68"/>
  <c r="F98" i="68"/>
  <c r="G101" i="68"/>
  <c r="F60" i="67"/>
  <c r="T59" i="67"/>
  <c r="F70" i="67"/>
  <c r="T69" i="67"/>
  <c r="F80" i="67"/>
  <c r="T79" i="67"/>
  <c r="F102" i="67"/>
  <c r="T101" i="67"/>
  <c r="T54" i="67"/>
  <c r="G59" i="67"/>
  <c r="G69" i="67"/>
  <c r="T74" i="67"/>
  <c r="G79" i="67"/>
  <c r="T84" i="67"/>
  <c r="F55" i="67"/>
  <c r="M56" i="67"/>
  <c r="M66" i="67"/>
  <c r="F75" i="67"/>
  <c r="M76" i="67"/>
  <c r="F85" i="67"/>
  <c r="G97" i="67"/>
  <c r="F98" i="67"/>
  <c r="G101" i="67"/>
  <c r="D18" i="51"/>
  <c r="O47" i="70" l="1"/>
  <c r="O46" i="70"/>
  <c r="G55" i="67"/>
  <c r="G55" i="68"/>
  <c r="H54" i="67"/>
  <c r="H55" i="67" s="1"/>
  <c r="G85" i="67"/>
  <c r="U84" i="68"/>
  <c r="H54" i="68"/>
  <c r="V54" i="68" s="1"/>
  <c r="N71" i="68"/>
  <c r="AD71" i="68" s="1"/>
  <c r="A71" i="68"/>
  <c r="N81" i="67"/>
  <c r="AD81" i="67" s="1"/>
  <c r="A81" i="67"/>
  <c r="N81" i="68"/>
  <c r="AD81" i="68" s="1"/>
  <c r="A81" i="68"/>
  <c r="N71" i="67"/>
  <c r="AD71" i="67" s="1"/>
  <c r="A71" i="67"/>
  <c r="N51" i="68"/>
  <c r="AD51" i="68" s="1"/>
  <c r="A51" i="68"/>
  <c r="N51" i="67"/>
  <c r="AD51" i="67" s="1"/>
  <c r="A51" i="67"/>
  <c r="H101" i="68"/>
  <c r="G102" i="68"/>
  <c r="U101" i="68"/>
  <c r="G98" i="68"/>
  <c r="U97" i="68"/>
  <c r="H97" i="68"/>
  <c r="N76" i="68"/>
  <c r="AD76" i="68" s="1"/>
  <c r="A76" i="68"/>
  <c r="N66" i="68"/>
  <c r="AD66" i="68" s="1"/>
  <c r="A66" i="68"/>
  <c r="N56" i="68"/>
  <c r="AD56" i="68" s="1"/>
  <c r="A56" i="68"/>
  <c r="H79" i="68"/>
  <c r="G80" i="68"/>
  <c r="U79" i="68"/>
  <c r="H69" i="68"/>
  <c r="G70" i="68"/>
  <c r="U69" i="68"/>
  <c r="H59" i="68"/>
  <c r="G60" i="68"/>
  <c r="U59" i="68"/>
  <c r="N66" i="67"/>
  <c r="AD66" i="67" s="1"/>
  <c r="A66" i="67"/>
  <c r="N56" i="67"/>
  <c r="AD56" i="67" s="1"/>
  <c r="A56" i="67"/>
  <c r="H101" i="67"/>
  <c r="G102" i="67"/>
  <c r="U101" i="67"/>
  <c r="G98" i="67"/>
  <c r="U97" i="67"/>
  <c r="H97" i="67"/>
  <c r="N76" i="67"/>
  <c r="AD76" i="67" s="1"/>
  <c r="A76" i="67"/>
  <c r="H79" i="67"/>
  <c r="G80" i="67"/>
  <c r="U79" i="67"/>
  <c r="H69" i="67"/>
  <c r="G70" i="67"/>
  <c r="U69" i="67"/>
  <c r="H59" i="67"/>
  <c r="G60" i="67"/>
  <c r="U59" i="67"/>
  <c r="I47" i="46"/>
  <c r="G47" i="46"/>
  <c r="F47" i="46"/>
  <c r="E47" i="46"/>
  <c r="D47" i="46"/>
  <c r="A47" i="46"/>
  <c r="I46" i="46"/>
  <c r="H46" i="46"/>
  <c r="G46" i="46"/>
  <c r="F46" i="46"/>
  <c r="E46" i="46"/>
  <c r="D46" i="46"/>
  <c r="A46" i="46"/>
  <c r="I45" i="46"/>
  <c r="H45" i="46"/>
  <c r="G45" i="46"/>
  <c r="F45" i="46"/>
  <c r="E45" i="46"/>
  <c r="D45" i="46"/>
  <c r="A45" i="46"/>
  <c r="I44" i="46"/>
  <c r="H44" i="46"/>
  <c r="G44" i="46"/>
  <c r="F44" i="46"/>
  <c r="E44" i="46"/>
  <c r="D44" i="46"/>
  <c r="A44" i="46"/>
  <c r="I43" i="46"/>
  <c r="H43" i="46"/>
  <c r="G43" i="46"/>
  <c r="F43" i="46"/>
  <c r="E43" i="46"/>
  <c r="D43" i="46"/>
  <c r="A43" i="46"/>
  <c r="I42" i="46"/>
  <c r="H42" i="46"/>
  <c r="G42" i="46"/>
  <c r="F42" i="46"/>
  <c r="E42" i="46"/>
  <c r="D42" i="46"/>
  <c r="A42" i="46"/>
  <c r="I41" i="46"/>
  <c r="H41" i="46"/>
  <c r="G41" i="46"/>
  <c r="F41" i="46"/>
  <c r="E41" i="46"/>
  <c r="D41" i="46"/>
  <c r="A41" i="46"/>
  <c r="I40" i="46"/>
  <c r="H40" i="46"/>
  <c r="G40" i="46"/>
  <c r="F40" i="46"/>
  <c r="E40" i="46"/>
  <c r="D40" i="46"/>
  <c r="A40" i="46"/>
  <c r="I54" i="67" l="1"/>
  <c r="I55" i="67" s="1"/>
  <c r="V54" i="67"/>
  <c r="I54" i="68"/>
  <c r="W54" i="68" s="1"/>
  <c r="I48" i="67"/>
  <c r="I46" i="67"/>
  <c r="I47" i="67"/>
  <c r="H55" i="68"/>
  <c r="S75" i="67"/>
  <c r="Q72" i="67"/>
  <c r="Q74" i="67"/>
  <c r="Q71" i="67"/>
  <c r="AC71" i="67" s="1"/>
  <c r="Q73" i="67"/>
  <c r="S71" i="67"/>
  <c r="S73" i="67"/>
  <c r="Q75" i="67"/>
  <c r="S72" i="67"/>
  <c r="S74" i="67"/>
  <c r="S85" i="68"/>
  <c r="Q82" i="68"/>
  <c r="Q84" i="68"/>
  <c r="Q81" i="68"/>
  <c r="AC81" i="68" s="1"/>
  <c r="Q83" i="68"/>
  <c r="S81" i="68"/>
  <c r="S83" i="68"/>
  <c r="Q85" i="68"/>
  <c r="S82" i="68"/>
  <c r="S84" i="68"/>
  <c r="S85" i="67"/>
  <c r="Q82" i="67"/>
  <c r="Q84" i="67"/>
  <c r="Q85" i="67"/>
  <c r="Q81" i="67"/>
  <c r="AC81" i="67" s="1"/>
  <c r="Q83" i="67"/>
  <c r="S81" i="67"/>
  <c r="S83" i="67"/>
  <c r="S82" i="67"/>
  <c r="S84" i="67"/>
  <c r="S75" i="68"/>
  <c r="Q72" i="68"/>
  <c r="Q74" i="68"/>
  <c r="Q75" i="68"/>
  <c r="Q71" i="68"/>
  <c r="AC71" i="68" s="1"/>
  <c r="Q73" i="68"/>
  <c r="S71" i="68"/>
  <c r="S73" i="68"/>
  <c r="S72" i="68"/>
  <c r="S74" i="68"/>
  <c r="S55" i="68"/>
  <c r="Q54" i="68"/>
  <c r="S53" i="68"/>
  <c r="Q52" i="68"/>
  <c r="S51" i="68"/>
  <c r="Q55" i="68"/>
  <c r="S52" i="68"/>
  <c r="S54" i="68"/>
  <c r="Q51" i="68"/>
  <c r="AC51" i="68" s="1"/>
  <c r="Q53" i="68"/>
  <c r="S55" i="67"/>
  <c r="Q54" i="67"/>
  <c r="S53" i="67"/>
  <c r="Q52" i="67"/>
  <c r="S51" i="67"/>
  <c r="Q55" i="67"/>
  <c r="Q51" i="67"/>
  <c r="AC51" i="67" s="1"/>
  <c r="Q53" i="67"/>
  <c r="S52" i="67"/>
  <c r="S54" i="67"/>
  <c r="H60" i="68"/>
  <c r="V59" i="68"/>
  <c r="I59" i="68"/>
  <c r="H80" i="68"/>
  <c r="V79" i="68"/>
  <c r="I79" i="68"/>
  <c r="H102" i="68"/>
  <c r="V101" i="68"/>
  <c r="I101" i="68"/>
  <c r="H70" i="68"/>
  <c r="V69" i="68"/>
  <c r="I69" i="68"/>
  <c r="Q60" i="68"/>
  <c r="Q59" i="68"/>
  <c r="S58" i="68"/>
  <c r="Q57" i="68"/>
  <c r="S56" i="68"/>
  <c r="S60" i="68"/>
  <c r="S59" i="68"/>
  <c r="Q58" i="68"/>
  <c r="S57" i="68"/>
  <c r="Q56" i="68"/>
  <c r="AC56" i="68" s="1"/>
  <c r="Q70" i="68"/>
  <c r="Q69" i="68"/>
  <c r="S68" i="68"/>
  <c r="Q67" i="68"/>
  <c r="S66" i="68"/>
  <c r="S70" i="68"/>
  <c r="S69" i="68"/>
  <c r="Q68" i="68"/>
  <c r="S67" i="68"/>
  <c r="Q66" i="68"/>
  <c r="AC66" i="68" s="1"/>
  <c r="Q80" i="68"/>
  <c r="Q79" i="68"/>
  <c r="S78" i="68"/>
  <c r="Q77" i="68"/>
  <c r="S76" i="68"/>
  <c r="S80" i="68"/>
  <c r="S79" i="68"/>
  <c r="Q78" i="68"/>
  <c r="S77" i="68"/>
  <c r="Q76" i="68"/>
  <c r="AC76" i="68" s="1"/>
  <c r="I97" i="68"/>
  <c r="V97" i="68"/>
  <c r="H98" i="68"/>
  <c r="H60" i="67"/>
  <c r="V59" i="67"/>
  <c r="I59" i="67"/>
  <c r="H80" i="67"/>
  <c r="V79" i="67"/>
  <c r="I79" i="67"/>
  <c r="Q80" i="67"/>
  <c r="Q79" i="67"/>
  <c r="S78" i="67"/>
  <c r="Q77" i="67"/>
  <c r="S76" i="67"/>
  <c r="S80" i="67"/>
  <c r="S79" i="67"/>
  <c r="Q78" i="67"/>
  <c r="S77" i="67"/>
  <c r="Q76" i="67"/>
  <c r="AC76" i="67" s="1"/>
  <c r="I97" i="67"/>
  <c r="V97" i="67"/>
  <c r="H98" i="67"/>
  <c r="H70" i="67"/>
  <c r="V69" i="67"/>
  <c r="I69" i="67"/>
  <c r="H102" i="67"/>
  <c r="V101" i="67"/>
  <c r="I101" i="67"/>
  <c r="Q60" i="67"/>
  <c r="Q59" i="67"/>
  <c r="S58" i="67"/>
  <c r="Q57" i="67"/>
  <c r="S56" i="67"/>
  <c r="S60" i="67"/>
  <c r="S59" i="67"/>
  <c r="Q58" i="67"/>
  <c r="S57" i="67"/>
  <c r="Q56" i="67"/>
  <c r="AC56" i="67" s="1"/>
  <c r="Q70" i="67"/>
  <c r="Q69" i="67"/>
  <c r="S68" i="67"/>
  <c r="Q67" i="67"/>
  <c r="S66" i="67"/>
  <c r="S70" i="67"/>
  <c r="S69" i="67"/>
  <c r="Q68" i="67"/>
  <c r="S67" i="67"/>
  <c r="Q66" i="67"/>
  <c r="AC66" i="67" s="1"/>
  <c r="I27" i="46"/>
  <c r="I28" i="46"/>
  <c r="I29" i="46"/>
  <c r="I33" i="69" s="1"/>
  <c r="I30" i="46"/>
  <c r="I23" i="69" s="1"/>
  <c r="I31" i="46"/>
  <c r="I18" i="69" s="1"/>
  <c r="I32" i="46"/>
  <c r="I33" i="46"/>
  <c r="I34" i="46"/>
  <c r="B19" i="65"/>
  <c r="P60" i="61"/>
  <c r="P59" i="61"/>
  <c r="P58" i="61"/>
  <c r="P57" i="61"/>
  <c r="P56" i="61"/>
  <c r="B22" i="65"/>
  <c r="B23" i="65"/>
  <c r="B21" i="65"/>
  <c r="B20" i="65"/>
  <c r="B18" i="65"/>
  <c r="B17" i="65"/>
  <c r="B16" i="65"/>
  <c r="B15" i="65"/>
  <c r="B14" i="65"/>
  <c r="B13" i="65"/>
  <c r="B12" i="65"/>
  <c r="B11" i="65"/>
  <c r="B10" i="65"/>
  <c r="B9" i="65"/>
  <c r="B8" i="65"/>
  <c r="B7" i="65"/>
  <c r="B6" i="65"/>
  <c r="B2" i="65"/>
  <c r="B1" i="65"/>
  <c r="D35" i="50"/>
  <c r="E35" i="50"/>
  <c r="F35" i="50"/>
  <c r="A35" i="50"/>
  <c r="A31" i="50"/>
  <c r="A36" i="50"/>
  <c r="A37" i="50"/>
  <c r="A27" i="50"/>
  <c r="A39" i="50"/>
  <c r="A26" i="50"/>
  <c r="A21" i="50"/>
  <c r="A29" i="50"/>
  <c r="A34" i="50"/>
  <c r="A30" i="50"/>
  <c r="A23" i="50"/>
  <c r="A20" i="50"/>
  <c r="A33" i="50"/>
  <c r="A24" i="50"/>
  <c r="A19" i="50"/>
  <c r="A28" i="50"/>
  <c r="A32" i="50"/>
  <c r="A38" i="50"/>
  <c r="A18" i="50"/>
  <c r="D18" i="50"/>
  <c r="E18" i="50"/>
  <c r="F18" i="50"/>
  <c r="G18" i="50"/>
  <c r="H18" i="50"/>
  <c r="I18" i="50"/>
  <c r="P18" i="50"/>
  <c r="K18" i="50" s="1"/>
  <c r="A24" i="54"/>
  <c r="D24" i="54"/>
  <c r="E24" i="54"/>
  <c r="F24" i="54"/>
  <c r="G24" i="54"/>
  <c r="H24" i="54"/>
  <c r="I24" i="54"/>
  <c r="J24" i="54"/>
  <c r="K24" i="54"/>
  <c r="L24" i="54"/>
  <c r="M24" i="54"/>
  <c r="N24" i="54"/>
  <c r="W24" i="54"/>
  <c r="O24" i="54" s="1"/>
  <c r="K73" i="69" l="1"/>
  <c r="K48" i="70"/>
  <c r="I38" i="69"/>
  <c r="I23" i="70"/>
  <c r="I28" i="69"/>
  <c r="I18" i="70"/>
  <c r="I19" i="70" s="1"/>
  <c r="I43" i="69"/>
  <c r="I28" i="70"/>
  <c r="J27" i="69"/>
  <c r="J17" i="70"/>
  <c r="J26" i="69"/>
  <c r="J16" i="70"/>
  <c r="J28" i="69"/>
  <c r="J18" i="70"/>
  <c r="W54" i="67"/>
  <c r="J54" i="67"/>
  <c r="K54" i="67" s="1"/>
  <c r="I55" i="68"/>
  <c r="J54" i="68"/>
  <c r="K54" i="68" s="1"/>
  <c r="J28" i="68"/>
  <c r="J26" i="68"/>
  <c r="J27" i="68"/>
  <c r="I43" i="67"/>
  <c r="I23" i="67"/>
  <c r="I28" i="67"/>
  <c r="I33" i="67"/>
  <c r="I38" i="67"/>
  <c r="I18" i="68"/>
  <c r="K18" i="61"/>
  <c r="K28" i="67"/>
  <c r="O71" i="68"/>
  <c r="O72" i="68"/>
  <c r="O82" i="67"/>
  <c r="O81" i="67"/>
  <c r="O81" i="68"/>
  <c r="O82" i="68"/>
  <c r="O71" i="67"/>
  <c r="O72" i="67"/>
  <c r="O51" i="68"/>
  <c r="O52" i="68"/>
  <c r="O52" i="67"/>
  <c r="O51" i="67"/>
  <c r="O77" i="68"/>
  <c r="O76" i="68"/>
  <c r="O67" i="68"/>
  <c r="O66" i="68"/>
  <c r="O57" i="68"/>
  <c r="O56" i="68"/>
  <c r="J101" i="68"/>
  <c r="I102" i="68"/>
  <c r="W101" i="68"/>
  <c r="J59" i="68"/>
  <c r="I60" i="68"/>
  <c r="W59" i="68"/>
  <c r="I98" i="68"/>
  <c r="W97" i="68"/>
  <c r="J97" i="68"/>
  <c r="I70" i="68"/>
  <c r="W69" i="68"/>
  <c r="J79" i="68"/>
  <c r="I80" i="68"/>
  <c r="W79" i="68"/>
  <c r="O77" i="67"/>
  <c r="O76" i="67"/>
  <c r="J79" i="67"/>
  <c r="I80" i="67"/>
  <c r="W79" i="67"/>
  <c r="O67" i="67"/>
  <c r="O66" i="67"/>
  <c r="O57" i="67"/>
  <c r="O56" i="67"/>
  <c r="J101" i="67"/>
  <c r="I102" i="67"/>
  <c r="W101" i="67"/>
  <c r="I70" i="67"/>
  <c r="W69" i="67"/>
  <c r="I98" i="67"/>
  <c r="W97" i="67"/>
  <c r="J97" i="67"/>
  <c r="J59" i="67"/>
  <c r="I60" i="67"/>
  <c r="W59" i="67"/>
  <c r="B3" i="65"/>
  <c r="B4" i="65"/>
  <c r="B5" i="65"/>
  <c r="J18" i="50"/>
  <c r="D39" i="44"/>
  <c r="E39" i="44"/>
  <c r="F39" i="44"/>
  <c r="G39" i="44"/>
  <c r="H39" i="44"/>
  <c r="I39" i="44"/>
  <c r="J39" i="44"/>
  <c r="K39" i="44"/>
  <c r="D39" i="45"/>
  <c r="E39" i="45"/>
  <c r="F39" i="45"/>
  <c r="AE39" i="45"/>
  <c r="F38" i="45"/>
  <c r="E38" i="45"/>
  <c r="D38" i="45"/>
  <c r="F37" i="45"/>
  <c r="E37" i="45"/>
  <c r="D37" i="45"/>
  <c r="F38" i="44"/>
  <c r="E38" i="44"/>
  <c r="D38" i="44"/>
  <c r="F57" i="46"/>
  <c r="E57" i="46"/>
  <c r="D57" i="46"/>
  <c r="F56" i="46"/>
  <c r="E56" i="46"/>
  <c r="D56" i="46"/>
  <c r="F55" i="46"/>
  <c r="E55" i="46"/>
  <c r="D55" i="46"/>
  <c r="F54" i="46"/>
  <c r="E54" i="46"/>
  <c r="D54" i="46"/>
  <c r="F53" i="46"/>
  <c r="E53" i="46"/>
  <c r="D53" i="46"/>
  <c r="F52" i="46"/>
  <c r="E52" i="46"/>
  <c r="D52" i="46"/>
  <c r="F51" i="46"/>
  <c r="E51" i="46"/>
  <c r="D51" i="46"/>
  <c r="F50" i="46"/>
  <c r="E50" i="46"/>
  <c r="D50" i="46"/>
  <c r="F33" i="46"/>
  <c r="E33" i="46"/>
  <c r="D33" i="46"/>
  <c r="F32" i="46"/>
  <c r="E32" i="46"/>
  <c r="D32" i="46"/>
  <c r="F31" i="46"/>
  <c r="E31" i="46"/>
  <c r="D31" i="46"/>
  <c r="F30" i="46"/>
  <c r="E30" i="46"/>
  <c r="D30" i="46"/>
  <c r="F29" i="46"/>
  <c r="E29" i="46"/>
  <c r="D29" i="46"/>
  <c r="F28" i="46"/>
  <c r="E28" i="46"/>
  <c r="D28" i="46"/>
  <c r="F27" i="46"/>
  <c r="E27" i="46"/>
  <c r="D27" i="46"/>
  <c r="F24" i="46"/>
  <c r="E24" i="46"/>
  <c r="D24" i="46"/>
  <c r="F23" i="46"/>
  <c r="E23" i="46"/>
  <c r="D23" i="46"/>
  <c r="F22" i="46"/>
  <c r="E22" i="46"/>
  <c r="D22" i="46"/>
  <c r="F21" i="46"/>
  <c r="E21" i="46"/>
  <c r="D21" i="46"/>
  <c r="F20" i="46"/>
  <c r="E20" i="46"/>
  <c r="D20" i="46"/>
  <c r="F19" i="46"/>
  <c r="E19" i="46"/>
  <c r="D19" i="46"/>
  <c r="F18" i="46"/>
  <c r="E18" i="46"/>
  <c r="D18" i="46"/>
  <c r="F17" i="46"/>
  <c r="E17" i="46"/>
  <c r="D17" i="46"/>
  <c r="F18" i="54"/>
  <c r="E18" i="54"/>
  <c r="D18" i="54"/>
  <c r="F28" i="54"/>
  <c r="E28" i="54"/>
  <c r="D28" i="54"/>
  <c r="F36" i="54"/>
  <c r="E36" i="54"/>
  <c r="D36" i="54"/>
  <c r="F25" i="54"/>
  <c r="E25" i="54"/>
  <c r="D25" i="54"/>
  <c r="F29" i="54"/>
  <c r="E29" i="54"/>
  <c r="D29" i="54"/>
  <c r="F26" i="54"/>
  <c r="E26" i="54"/>
  <c r="D26" i="54"/>
  <c r="F27" i="54"/>
  <c r="E27" i="54"/>
  <c r="D27" i="54"/>
  <c r="F21" i="54"/>
  <c r="E21" i="54"/>
  <c r="D21" i="54"/>
  <c r="F20" i="54"/>
  <c r="E20" i="54"/>
  <c r="D20" i="54"/>
  <c r="F17" i="54"/>
  <c r="E17" i="54"/>
  <c r="D17" i="54"/>
  <c r="F34" i="54"/>
  <c r="E34" i="54"/>
  <c r="D34" i="54"/>
  <c r="F35" i="54"/>
  <c r="E35" i="54"/>
  <c r="D35" i="54"/>
  <c r="F22" i="54"/>
  <c r="E22" i="54"/>
  <c r="D22" i="54"/>
  <c r="F19" i="54"/>
  <c r="E19" i="54"/>
  <c r="D19" i="54"/>
  <c r="F23" i="54"/>
  <c r="E23" i="54"/>
  <c r="D23" i="54"/>
  <c r="F38" i="50"/>
  <c r="E38" i="50"/>
  <c r="D38" i="50"/>
  <c r="F28" i="50"/>
  <c r="E28" i="50"/>
  <c r="D28" i="50"/>
  <c r="F36" i="50"/>
  <c r="E36" i="50"/>
  <c r="D36" i="50"/>
  <c r="F21" i="50"/>
  <c r="E21" i="50"/>
  <c r="D21" i="50"/>
  <c r="F29" i="50"/>
  <c r="E29" i="50"/>
  <c r="D29" i="50"/>
  <c r="F39" i="50"/>
  <c r="E39" i="50"/>
  <c r="D39" i="50"/>
  <c r="F24" i="50"/>
  <c r="E24" i="50"/>
  <c r="D24" i="50"/>
  <c r="F22" i="50"/>
  <c r="E22" i="50"/>
  <c r="D22" i="50"/>
  <c r="F26" i="50"/>
  <c r="E26" i="50"/>
  <c r="D26" i="50"/>
  <c r="F23" i="50"/>
  <c r="E23" i="50"/>
  <c r="D23" i="50"/>
  <c r="F20" i="50"/>
  <c r="E20" i="50"/>
  <c r="D20" i="50"/>
  <c r="F30" i="50"/>
  <c r="E30" i="50"/>
  <c r="D30" i="50"/>
  <c r="F27" i="50"/>
  <c r="E27" i="50"/>
  <c r="D27" i="50"/>
  <c r="F37" i="50"/>
  <c r="E37" i="50"/>
  <c r="D37" i="50"/>
  <c r="F25" i="50"/>
  <c r="E25" i="50"/>
  <c r="D25" i="50"/>
  <c r="F19" i="50"/>
  <c r="E19" i="50"/>
  <c r="D19" i="50"/>
  <c r="F57" i="51"/>
  <c r="E57" i="51"/>
  <c r="D57" i="51"/>
  <c r="F56" i="51"/>
  <c r="E56" i="51"/>
  <c r="D56" i="51"/>
  <c r="F55" i="51"/>
  <c r="E55" i="51"/>
  <c r="D55" i="51"/>
  <c r="F54" i="51"/>
  <c r="E54" i="51"/>
  <c r="D54" i="51"/>
  <c r="F53" i="51"/>
  <c r="E53" i="51"/>
  <c r="D53" i="51"/>
  <c r="F52" i="51"/>
  <c r="E52" i="51"/>
  <c r="D52" i="51"/>
  <c r="F51" i="51"/>
  <c r="E51" i="51"/>
  <c r="D51" i="51"/>
  <c r="F50" i="51"/>
  <c r="E50" i="51"/>
  <c r="D50" i="51"/>
  <c r="F49" i="51"/>
  <c r="E49" i="51"/>
  <c r="D49" i="51"/>
  <c r="F48" i="51"/>
  <c r="E48" i="51"/>
  <c r="D48" i="51"/>
  <c r="F47" i="51"/>
  <c r="E47" i="51"/>
  <c r="D47" i="51"/>
  <c r="F46" i="51"/>
  <c r="E46" i="51"/>
  <c r="D46" i="51"/>
  <c r="F45" i="51"/>
  <c r="E45" i="51"/>
  <c r="D45" i="51"/>
  <c r="F42" i="51"/>
  <c r="E42" i="51"/>
  <c r="D42" i="51"/>
  <c r="F41" i="51"/>
  <c r="E41" i="51"/>
  <c r="D41" i="51"/>
  <c r="F40" i="51"/>
  <c r="E40" i="51"/>
  <c r="D40" i="51"/>
  <c r="F39" i="51"/>
  <c r="E39" i="51"/>
  <c r="D39" i="51"/>
  <c r="F38" i="51"/>
  <c r="E38" i="51"/>
  <c r="D38" i="51"/>
  <c r="F37" i="51"/>
  <c r="E37" i="51"/>
  <c r="D37" i="51"/>
  <c r="F36" i="51"/>
  <c r="E36" i="51"/>
  <c r="D36" i="51"/>
  <c r="F35" i="51"/>
  <c r="E35" i="51"/>
  <c r="D35" i="51"/>
  <c r="A35" i="51"/>
  <c r="F24" i="51"/>
  <c r="E24" i="51"/>
  <c r="D24" i="51"/>
  <c r="F22" i="51"/>
  <c r="E22" i="51"/>
  <c r="D22" i="51"/>
  <c r="F21" i="51"/>
  <c r="E21" i="51"/>
  <c r="D21" i="51"/>
  <c r="F20" i="51"/>
  <c r="E20" i="51"/>
  <c r="D20" i="51"/>
  <c r="F19" i="51"/>
  <c r="E19" i="51"/>
  <c r="D19" i="51"/>
  <c r="F17" i="51"/>
  <c r="E17" i="51"/>
  <c r="D17" i="51"/>
  <c r="W19" i="70" l="1"/>
  <c r="J19" i="70"/>
  <c r="I20" i="70"/>
  <c r="K71" i="69"/>
  <c r="K46" i="70"/>
  <c r="J55" i="67"/>
  <c r="X54" i="67"/>
  <c r="X54" i="68"/>
  <c r="J55" i="68"/>
  <c r="K26" i="67"/>
  <c r="K16" i="61"/>
  <c r="J80" i="68"/>
  <c r="X79" i="68"/>
  <c r="K79" i="68"/>
  <c r="K97" i="68"/>
  <c r="J98" i="68"/>
  <c r="X97" i="68"/>
  <c r="K55" i="68"/>
  <c r="Y54" i="68"/>
  <c r="J60" i="68"/>
  <c r="X59" i="68"/>
  <c r="K59" i="68"/>
  <c r="J102" i="68"/>
  <c r="X101" i="68"/>
  <c r="K101" i="68"/>
  <c r="J60" i="67"/>
  <c r="X59" i="67"/>
  <c r="K59" i="67"/>
  <c r="K97" i="67"/>
  <c r="J98" i="67"/>
  <c r="X97" i="67"/>
  <c r="J80" i="67"/>
  <c r="X79" i="67"/>
  <c r="K79" i="67"/>
  <c r="K55" i="67"/>
  <c r="Y54" i="67"/>
  <c r="J102" i="67"/>
  <c r="X101" i="67"/>
  <c r="K101" i="67"/>
  <c r="P125" i="61"/>
  <c r="P124" i="61"/>
  <c r="P123" i="61"/>
  <c r="J123" i="61"/>
  <c r="P122" i="61"/>
  <c r="J122" i="61"/>
  <c r="P121" i="61"/>
  <c r="J121" i="61"/>
  <c r="A26" i="54"/>
  <c r="G26" i="54"/>
  <c r="H26" i="54"/>
  <c r="I26" i="54"/>
  <c r="J26" i="54"/>
  <c r="K26" i="54"/>
  <c r="L26" i="54"/>
  <c r="M26" i="54"/>
  <c r="N26" i="54"/>
  <c r="W26" i="54"/>
  <c r="O26" i="54" s="1"/>
  <c r="A32" i="54"/>
  <c r="W32" i="54"/>
  <c r="O32" i="54" s="1"/>
  <c r="A27" i="54"/>
  <c r="G27" i="54"/>
  <c r="H27" i="54"/>
  <c r="I27" i="54"/>
  <c r="J27" i="54"/>
  <c r="K27" i="54"/>
  <c r="L27" i="54"/>
  <c r="M27" i="54"/>
  <c r="N27" i="54"/>
  <c r="W27" i="54"/>
  <c r="O27" i="54" s="1"/>
  <c r="A20" i="54"/>
  <c r="G20" i="54"/>
  <c r="H20" i="54"/>
  <c r="I20" i="54"/>
  <c r="J20" i="54"/>
  <c r="K20" i="54"/>
  <c r="L20" i="54"/>
  <c r="M20" i="54"/>
  <c r="N20" i="54"/>
  <c r="W20" i="54"/>
  <c r="O20" i="54" s="1"/>
  <c r="A36" i="54"/>
  <c r="G36" i="54"/>
  <c r="H36" i="54"/>
  <c r="I36" i="54"/>
  <c r="J36" i="54"/>
  <c r="K36" i="54"/>
  <c r="L36" i="54"/>
  <c r="M36" i="54"/>
  <c r="N36" i="54"/>
  <c r="W36" i="54"/>
  <c r="O36" i="54" s="1"/>
  <c r="A21" i="54"/>
  <c r="G21" i="54"/>
  <c r="H21" i="54"/>
  <c r="I21" i="54"/>
  <c r="J21" i="54"/>
  <c r="K21" i="54"/>
  <c r="L21" i="54"/>
  <c r="M21" i="54"/>
  <c r="N21" i="54"/>
  <c r="W21" i="54"/>
  <c r="O21" i="54" s="1"/>
  <c r="A29" i="54"/>
  <c r="G29" i="54"/>
  <c r="H29" i="54"/>
  <c r="I29" i="54"/>
  <c r="J29" i="54"/>
  <c r="K29" i="54"/>
  <c r="L29" i="54"/>
  <c r="M29" i="54"/>
  <c r="J21" i="69" s="1"/>
  <c r="N29" i="54"/>
  <c r="J22" i="69" s="1"/>
  <c r="W29" i="54"/>
  <c r="O29" i="54" s="1"/>
  <c r="J23" i="69" s="1"/>
  <c r="A22" i="54"/>
  <c r="G22" i="54"/>
  <c r="H22" i="54"/>
  <c r="I22" i="54"/>
  <c r="J22" i="54"/>
  <c r="K22" i="54"/>
  <c r="L22" i="54"/>
  <c r="M22" i="54"/>
  <c r="N22" i="54"/>
  <c r="W22" i="54"/>
  <c r="O22" i="54" s="1"/>
  <c r="A19" i="54"/>
  <c r="G19" i="54"/>
  <c r="H19" i="54"/>
  <c r="I19" i="54"/>
  <c r="J19" i="54"/>
  <c r="K19" i="54"/>
  <c r="L19" i="54"/>
  <c r="M19" i="54"/>
  <c r="J51" i="69" s="1"/>
  <c r="N19" i="54"/>
  <c r="J52" i="69" s="1"/>
  <c r="W19" i="54"/>
  <c r="O19" i="54" s="1"/>
  <c r="J53" i="69" s="1"/>
  <c r="A33" i="54"/>
  <c r="W33" i="54"/>
  <c r="O33" i="54" s="1"/>
  <c r="A17" i="54"/>
  <c r="G17" i="54"/>
  <c r="H17" i="54"/>
  <c r="I17" i="54"/>
  <c r="J17" i="54"/>
  <c r="K17" i="54"/>
  <c r="L17" i="54"/>
  <c r="M17" i="54"/>
  <c r="N17" i="54"/>
  <c r="W17" i="54"/>
  <c r="O17" i="54" s="1"/>
  <c r="A25" i="54"/>
  <c r="G25" i="54"/>
  <c r="H25" i="54"/>
  <c r="I25" i="54"/>
  <c r="J25" i="54"/>
  <c r="K25" i="54"/>
  <c r="L25" i="54"/>
  <c r="M25" i="54"/>
  <c r="J56" i="69" s="1"/>
  <c r="N25" i="54"/>
  <c r="J57" i="69" s="1"/>
  <c r="W25" i="54"/>
  <c r="O25" i="54" s="1"/>
  <c r="J58" i="69" s="1"/>
  <c r="A31" i="54"/>
  <c r="W31" i="54"/>
  <c r="O31" i="54" s="1"/>
  <c r="A23" i="54"/>
  <c r="G23" i="54"/>
  <c r="H23" i="54"/>
  <c r="I23" i="54"/>
  <c r="J23" i="54"/>
  <c r="K23" i="54"/>
  <c r="L23" i="54"/>
  <c r="M23" i="54"/>
  <c r="N23" i="54"/>
  <c r="W23" i="54"/>
  <c r="O23" i="54" s="1"/>
  <c r="A34" i="54"/>
  <c r="G34" i="54"/>
  <c r="H34" i="54"/>
  <c r="I34" i="54"/>
  <c r="J34" i="54"/>
  <c r="K34" i="54"/>
  <c r="L34" i="54"/>
  <c r="M34" i="54"/>
  <c r="N34" i="54"/>
  <c r="W34" i="54"/>
  <c r="O34" i="54" s="1"/>
  <c r="A28" i="54"/>
  <c r="G28" i="54"/>
  <c r="H28" i="54"/>
  <c r="I28" i="54"/>
  <c r="J28" i="54"/>
  <c r="K28" i="54"/>
  <c r="L28" i="54"/>
  <c r="M28" i="54"/>
  <c r="J16" i="69" s="1"/>
  <c r="N28" i="54"/>
  <c r="J17" i="69" s="1"/>
  <c r="W28" i="54"/>
  <c r="O28" i="54" s="1"/>
  <c r="J18" i="69" s="1"/>
  <c r="A18" i="54"/>
  <c r="G18" i="54"/>
  <c r="H18" i="54"/>
  <c r="I18" i="54"/>
  <c r="J18" i="54"/>
  <c r="K18" i="54"/>
  <c r="L18" i="54"/>
  <c r="M18" i="54"/>
  <c r="J31" i="69" s="1"/>
  <c r="N18" i="54"/>
  <c r="J32" i="69" s="1"/>
  <c r="W18" i="54"/>
  <c r="O18" i="54" s="1"/>
  <c r="J33" i="69" s="1"/>
  <c r="A35" i="54"/>
  <c r="G35" i="54"/>
  <c r="H35" i="54"/>
  <c r="I35" i="54"/>
  <c r="J35" i="54"/>
  <c r="K35" i="54"/>
  <c r="L35" i="54"/>
  <c r="M35" i="54"/>
  <c r="N35" i="54"/>
  <c r="W35" i="54"/>
  <c r="O35" i="54" s="1"/>
  <c r="A30" i="54"/>
  <c r="W30" i="54"/>
  <c r="O30" i="54" s="1"/>
  <c r="J73" i="69" l="1"/>
  <c r="J48" i="70"/>
  <c r="J49" i="70" s="1"/>
  <c r="J36" i="69"/>
  <c r="J21" i="70"/>
  <c r="J72" i="69"/>
  <c r="J47" i="70"/>
  <c r="J62" i="69"/>
  <c r="J37" i="70"/>
  <c r="J47" i="69"/>
  <c r="J32" i="70"/>
  <c r="J38" i="69"/>
  <c r="J23" i="70"/>
  <c r="J78" i="69"/>
  <c r="J53" i="70"/>
  <c r="J43" i="69"/>
  <c r="J28" i="70"/>
  <c r="J61" i="69"/>
  <c r="J36" i="70"/>
  <c r="J46" i="69"/>
  <c r="J31" i="70"/>
  <c r="J68" i="69"/>
  <c r="J43" i="70"/>
  <c r="J71" i="69"/>
  <c r="J46" i="70"/>
  <c r="J67" i="69"/>
  <c r="J42" i="70"/>
  <c r="J37" i="69"/>
  <c r="J22" i="70"/>
  <c r="J77" i="69"/>
  <c r="J52" i="70"/>
  <c r="J42" i="69"/>
  <c r="J27" i="70"/>
  <c r="X19" i="70"/>
  <c r="J20" i="70"/>
  <c r="J66" i="69"/>
  <c r="J41" i="70"/>
  <c r="J76" i="69"/>
  <c r="J51" i="70"/>
  <c r="J41" i="69"/>
  <c r="J26" i="70"/>
  <c r="J63" i="69"/>
  <c r="J38" i="70"/>
  <c r="J48" i="69"/>
  <c r="J33" i="70"/>
  <c r="J46" i="67"/>
  <c r="J43" i="67"/>
  <c r="J68" i="67"/>
  <c r="J69" i="67" s="1"/>
  <c r="J68" i="68"/>
  <c r="J69" i="68" s="1"/>
  <c r="J67" i="68"/>
  <c r="J67" i="67"/>
  <c r="J48" i="67"/>
  <c r="J66" i="68"/>
  <c r="J66" i="67"/>
  <c r="J18" i="68"/>
  <c r="J16" i="68"/>
  <c r="J23" i="67"/>
  <c r="J21" i="67"/>
  <c r="J33" i="67"/>
  <c r="J31" i="67"/>
  <c r="J21" i="68"/>
  <c r="J23" i="68"/>
  <c r="J32" i="67"/>
  <c r="J37" i="68"/>
  <c r="J22" i="67"/>
  <c r="J17" i="68"/>
  <c r="J32" i="68"/>
  <c r="J17" i="67"/>
  <c r="J22" i="68"/>
  <c r="J42" i="68"/>
  <c r="J47" i="67"/>
  <c r="J42" i="67"/>
  <c r="J37" i="67"/>
  <c r="J27" i="67"/>
  <c r="J38" i="68"/>
  <c r="J36" i="68"/>
  <c r="J33" i="68"/>
  <c r="J31" i="68"/>
  <c r="J38" i="67"/>
  <c r="J36" i="67"/>
  <c r="J18" i="67"/>
  <c r="J16" i="67"/>
  <c r="J43" i="68"/>
  <c r="J41" i="68"/>
  <c r="J28" i="67"/>
  <c r="J26" i="67"/>
  <c r="L79" i="68"/>
  <c r="K80" i="68"/>
  <c r="Y79" i="68"/>
  <c r="L101" i="68"/>
  <c r="K102" i="68"/>
  <c r="Y101" i="68"/>
  <c r="L59" i="68"/>
  <c r="K60" i="68"/>
  <c r="Y59" i="68"/>
  <c r="K98" i="68"/>
  <c r="Y97" i="68"/>
  <c r="L97" i="68"/>
  <c r="L79" i="67"/>
  <c r="K80" i="67"/>
  <c r="Y79" i="67"/>
  <c r="L59" i="67"/>
  <c r="K60" i="67"/>
  <c r="Y59" i="67"/>
  <c r="L101" i="67"/>
  <c r="K102" i="67"/>
  <c r="Y101" i="67"/>
  <c r="K98" i="67"/>
  <c r="Y97" i="67"/>
  <c r="L97" i="67"/>
  <c r="J57" i="61"/>
  <c r="J58" i="61"/>
  <c r="J56" i="61"/>
  <c r="P120" i="61"/>
  <c r="P119" i="61"/>
  <c r="P118" i="61"/>
  <c r="P117" i="61"/>
  <c r="P116" i="61"/>
  <c r="P115" i="61"/>
  <c r="P114" i="61"/>
  <c r="P113" i="61"/>
  <c r="P112" i="61"/>
  <c r="P111" i="61"/>
  <c r="P110" i="61"/>
  <c r="P109" i="61"/>
  <c r="P108" i="61"/>
  <c r="P107" i="61"/>
  <c r="P106" i="61"/>
  <c r="P105" i="61"/>
  <c r="P104" i="61"/>
  <c r="P103" i="61"/>
  <c r="P102" i="61"/>
  <c r="P101" i="61"/>
  <c r="P100" i="61"/>
  <c r="P99" i="61"/>
  <c r="P98" i="61"/>
  <c r="P97" i="61"/>
  <c r="P96" i="61"/>
  <c r="P95" i="61"/>
  <c r="P94" i="61"/>
  <c r="P93" i="61"/>
  <c r="P92" i="61"/>
  <c r="P91" i="61"/>
  <c r="P90" i="61"/>
  <c r="P89" i="61"/>
  <c r="P88" i="61"/>
  <c r="P87" i="61"/>
  <c r="P86" i="61"/>
  <c r="P85" i="61"/>
  <c r="P84" i="61"/>
  <c r="P83" i="61"/>
  <c r="P82" i="61"/>
  <c r="P81" i="61"/>
  <c r="P80" i="61"/>
  <c r="P79" i="61"/>
  <c r="P78" i="61"/>
  <c r="P77" i="61"/>
  <c r="P76" i="61"/>
  <c r="P75" i="61"/>
  <c r="P74" i="61"/>
  <c r="P73" i="61"/>
  <c r="P72" i="61"/>
  <c r="P71" i="61"/>
  <c r="P70" i="61"/>
  <c r="P69" i="61"/>
  <c r="P68" i="61"/>
  <c r="P67" i="61"/>
  <c r="P66" i="61"/>
  <c r="P65" i="61"/>
  <c r="P64" i="61"/>
  <c r="P63" i="61"/>
  <c r="P62" i="61"/>
  <c r="P61" i="61"/>
  <c r="P55" i="61"/>
  <c r="P54" i="61"/>
  <c r="P53" i="61"/>
  <c r="P52" i="61"/>
  <c r="P51" i="61"/>
  <c r="P50" i="61"/>
  <c r="P49" i="61"/>
  <c r="P48" i="61"/>
  <c r="P47" i="61"/>
  <c r="P46" i="61"/>
  <c r="P45" i="61"/>
  <c r="P44" i="61"/>
  <c r="P43" i="61"/>
  <c r="P42" i="61"/>
  <c r="P41" i="61"/>
  <c r="P40" i="61"/>
  <c r="P39" i="61"/>
  <c r="P38" i="61"/>
  <c r="P37" i="61"/>
  <c r="P36" i="61"/>
  <c r="P35" i="61"/>
  <c r="P34" i="61"/>
  <c r="P33" i="61"/>
  <c r="P32" i="61"/>
  <c r="P31" i="61"/>
  <c r="K52" i="51"/>
  <c r="H52" i="51" s="1"/>
  <c r="G52" i="51"/>
  <c r="K51" i="51"/>
  <c r="H51" i="51" s="1"/>
  <c r="G51" i="51"/>
  <c r="K50" i="51"/>
  <c r="H50" i="51" s="1"/>
  <c r="G50" i="51"/>
  <c r="K49" i="51"/>
  <c r="H49" i="51" s="1"/>
  <c r="G49" i="51"/>
  <c r="K48" i="51"/>
  <c r="H48" i="51" s="1"/>
  <c r="G48" i="51"/>
  <c r="K47" i="51"/>
  <c r="H47" i="51" s="1"/>
  <c r="G47" i="51"/>
  <c r="K46" i="51"/>
  <c r="H46" i="51" s="1"/>
  <c r="G46" i="51"/>
  <c r="K45" i="51"/>
  <c r="H45" i="51" s="1"/>
  <c r="G45" i="51"/>
  <c r="G23" i="46"/>
  <c r="I56" i="69" s="1"/>
  <c r="H23" i="46"/>
  <c r="I57" i="69" s="1"/>
  <c r="I23" i="46"/>
  <c r="I58" i="69" s="1"/>
  <c r="G21" i="50"/>
  <c r="H21" i="50"/>
  <c r="I21" i="50"/>
  <c r="P21" i="50"/>
  <c r="J21" i="50" s="1"/>
  <c r="G36" i="50"/>
  <c r="H36" i="50"/>
  <c r="I36" i="50"/>
  <c r="P36" i="50"/>
  <c r="K36" i="50" s="1"/>
  <c r="G28" i="50"/>
  <c r="H28" i="50"/>
  <c r="I28" i="50"/>
  <c r="P28" i="50"/>
  <c r="J28" i="50" s="1"/>
  <c r="P32" i="50"/>
  <c r="K32" i="50" s="1"/>
  <c r="G38" i="50"/>
  <c r="H38" i="50"/>
  <c r="I38" i="50"/>
  <c r="P38" i="50"/>
  <c r="J38" i="50" s="1"/>
  <c r="J107" i="61"/>
  <c r="J118" i="61"/>
  <c r="H31" i="69"/>
  <c r="H33" i="69"/>
  <c r="H66" i="69"/>
  <c r="H68" i="69"/>
  <c r="G36" i="69"/>
  <c r="G38" i="69"/>
  <c r="G41" i="69"/>
  <c r="G43" i="69"/>
  <c r="J117" i="61"/>
  <c r="J116" i="61"/>
  <c r="G116" i="61"/>
  <c r="J108" i="61"/>
  <c r="I108" i="61"/>
  <c r="J106" i="61"/>
  <c r="L103" i="61"/>
  <c r="L98" i="61"/>
  <c r="L96" i="61"/>
  <c r="P30" i="61"/>
  <c r="P29" i="61"/>
  <c r="P28" i="61"/>
  <c r="P27" i="61"/>
  <c r="P26" i="61"/>
  <c r="P25" i="61"/>
  <c r="P24" i="61"/>
  <c r="P23" i="61"/>
  <c r="P22" i="61"/>
  <c r="P21" i="61"/>
  <c r="P20" i="61"/>
  <c r="P19" i="61"/>
  <c r="P18" i="61"/>
  <c r="P17" i="61"/>
  <c r="P16" i="61"/>
  <c r="K49" i="70" l="1"/>
  <c r="X49" i="70"/>
  <c r="J50" i="70"/>
  <c r="K61" i="69"/>
  <c r="K36" i="70"/>
  <c r="K41" i="69"/>
  <c r="K26" i="70"/>
  <c r="H58" i="69"/>
  <c r="H38" i="70"/>
  <c r="H56" i="69"/>
  <c r="H36" i="70"/>
  <c r="G46" i="68"/>
  <c r="H73" i="68"/>
  <c r="H73" i="67"/>
  <c r="G33" i="68"/>
  <c r="G31" i="68"/>
  <c r="L46" i="67"/>
  <c r="L51" i="67"/>
  <c r="L51" i="68"/>
  <c r="K69" i="68"/>
  <c r="J70" i="68"/>
  <c r="X69" i="68"/>
  <c r="L41" i="67"/>
  <c r="L66" i="68"/>
  <c r="L66" i="67"/>
  <c r="H71" i="67"/>
  <c r="H71" i="68"/>
  <c r="L43" i="67"/>
  <c r="L68" i="68"/>
  <c r="L68" i="67"/>
  <c r="L101" i="61"/>
  <c r="G48" i="68"/>
  <c r="L48" i="67"/>
  <c r="L53" i="67"/>
  <c r="L54" i="67" s="1"/>
  <c r="L53" i="68"/>
  <c r="L54" i="68" s="1"/>
  <c r="X69" i="67"/>
  <c r="K69" i="67"/>
  <c r="J70" i="67"/>
  <c r="I28" i="68"/>
  <c r="I26" i="68"/>
  <c r="I27" i="68"/>
  <c r="H43" i="68"/>
  <c r="H41" i="68"/>
  <c r="H38" i="67"/>
  <c r="H36" i="67"/>
  <c r="K81" i="61"/>
  <c r="K46" i="67"/>
  <c r="K76" i="61"/>
  <c r="Z97" i="68"/>
  <c r="L98" i="68"/>
  <c r="L60" i="68"/>
  <c r="Z59" i="68"/>
  <c r="L102" i="68"/>
  <c r="Z101" i="68"/>
  <c r="L80" i="68"/>
  <c r="Z79" i="68"/>
  <c r="Z97" i="67"/>
  <c r="L98" i="67"/>
  <c r="L102" i="67"/>
  <c r="Z101" i="67"/>
  <c r="L60" i="67"/>
  <c r="Z59" i="67"/>
  <c r="L80" i="67"/>
  <c r="Z79" i="67"/>
  <c r="A52" i="51"/>
  <c r="A51" i="51"/>
  <c r="A50" i="51"/>
  <c r="A49" i="51"/>
  <c r="A48" i="51"/>
  <c r="A47" i="51"/>
  <c r="A46" i="51"/>
  <c r="A45" i="51"/>
  <c r="H123" i="61"/>
  <c r="H106" i="61"/>
  <c r="H121" i="61"/>
  <c r="H108" i="61"/>
  <c r="G111" i="61"/>
  <c r="G118" i="61"/>
  <c r="G113" i="61"/>
  <c r="K28" i="50"/>
  <c r="K38" i="50"/>
  <c r="K21" i="50"/>
  <c r="J36" i="50"/>
  <c r="K63" i="69" l="1"/>
  <c r="K38" i="70"/>
  <c r="K43" i="69"/>
  <c r="K28" i="70"/>
  <c r="Y49" i="70"/>
  <c r="K50" i="70"/>
  <c r="K70" i="68"/>
  <c r="L69" i="68"/>
  <c r="Y69" i="68"/>
  <c r="L55" i="67"/>
  <c r="Z54" i="67"/>
  <c r="K70" i="67"/>
  <c r="Y69" i="67"/>
  <c r="L69" i="67"/>
  <c r="Z54" i="68"/>
  <c r="L55" i="68"/>
  <c r="K78" i="61"/>
  <c r="K48" i="67"/>
  <c r="K83" i="61"/>
  <c r="K43" i="67"/>
  <c r="P35" i="50"/>
  <c r="P25" i="50"/>
  <c r="P37" i="50"/>
  <c r="P27" i="50"/>
  <c r="P30" i="50"/>
  <c r="P20" i="50"/>
  <c r="P23" i="50"/>
  <c r="P26" i="50"/>
  <c r="P22" i="50"/>
  <c r="P24" i="50"/>
  <c r="P39" i="50"/>
  <c r="P33" i="50"/>
  <c r="P29" i="50"/>
  <c r="P34" i="50"/>
  <c r="P31" i="50"/>
  <c r="P19" i="50"/>
  <c r="L70" i="67" l="1"/>
  <c r="Z69" i="67"/>
  <c r="L70" i="68"/>
  <c r="Z69" i="68"/>
  <c r="H48" i="69"/>
  <c r="H23" i="69"/>
  <c r="K38" i="44"/>
  <c r="H38" i="69"/>
  <c r="H63" i="69"/>
  <c r="H28" i="69"/>
  <c r="H43" i="69"/>
  <c r="H18" i="69"/>
  <c r="H73" i="69"/>
  <c r="H78" i="69"/>
  <c r="G17" i="51"/>
  <c r="L46" i="70" s="1"/>
  <c r="H17" i="51"/>
  <c r="G19" i="51"/>
  <c r="H19" i="51"/>
  <c r="C137" i="61"/>
  <c r="C136" i="61"/>
  <c r="D135" i="61"/>
  <c r="C135" i="61"/>
  <c r="D134" i="61"/>
  <c r="C134" i="61"/>
  <c r="C133" i="61"/>
  <c r="C132" i="61"/>
  <c r="D131" i="61"/>
  <c r="C131" i="61"/>
  <c r="D130" i="61"/>
  <c r="C130" i="61"/>
  <c r="L48" i="70" l="1"/>
  <c r="L49" i="70" s="1"/>
  <c r="Z49" i="70" s="1"/>
  <c r="L51" i="69"/>
  <c r="L53" i="69"/>
  <c r="L71" i="69"/>
  <c r="L73" i="69"/>
  <c r="AC81" i="69"/>
  <c r="H18" i="67"/>
  <c r="H53" i="69"/>
  <c r="H48" i="67"/>
  <c r="H83" i="68"/>
  <c r="H84" i="68" s="1"/>
  <c r="H83" i="67"/>
  <c r="H84" i="67" s="1"/>
  <c r="L23" i="67"/>
  <c r="L21" i="67"/>
  <c r="L38" i="68"/>
  <c r="L36" i="68"/>
  <c r="H28" i="68"/>
  <c r="H23" i="68"/>
  <c r="H43" i="67"/>
  <c r="H48" i="68"/>
  <c r="H18" i="68"/>
  <c r="H23" i="67"/>
  <c r="H38" i="68"/>
  <c r="H33" i="68"/>
  <c r="H33" i="67"/>
  <c r="H28" i="67"/>
  <c r="H58" i="61"/>
  <c r="H98" i="61"/>
  <c r="H118" i="61"/>
  <c r="H113" i="61"/>
  <c r="H103" i="61"/>
  <c r="G39" i="50"/>
  <c r="H39" i="50"/>
  <c r="I39" i="50"/>
  <c r="J39" i="50"/>
  <c r="K39" i="50"/>
  <c r="F67" i="46"/>
  <c r="E67" i="46"/>
  <c r="D67" i="46"/>
  <c r="F66" i="46"/>
  <c r="E66" i="46"/>
  <c r="D66" i="46"/>
  <c r="F65" i="46"/>
  <c r="E65" i="46"/>
  <c r="D65" i="46"/>
  <c r="F64" i="46"/>
  <c r="E64" i="46"/>
  <c r="D64" i="46"/>
  <c r="F63" i="46"/>
  <c r="E63" i="46"/>
  <c r="D63" i="46"/>
  <c r="F62" i="46"/>
  <c r="E62" i="46"/>
  <c r="D62" i="46"/>
  <c r="F61" i="46"/>
  <c r="E61" i="46"/>
  <c r="D61" i="46"/>
  <c r="F60" i="46"/>
  <c r="E60" i="46"/>
  <c r="D60" i="46"/>
  <c r="AD81" i="69" l="1"/>
  <c r="V84" i="69"/>
  <c r="G26" i="67"/>
  <c r="I84" i="68"/>
  <c r="H85" i="68"/>
  <c r="V84" i="68"/>
  <c r="G28" i="67"/>
  <c r="V84" i="67"/>
  <c r="I84" i="67"/>
  <c r="H85" i="67"/>
  <c r="W84" i="69" l="1"/>
  <c r="W84" i="68"/>
  <c r="I85" i="68"/>
  <c r="J84" i="68"/>
  <c r="I85" i="67"/>
  <c r="J84" i="67"/>
  <c r="W84" i="67"/>
  <c r="G54" i="51"/>
  <c r="H54" i="51"/>
  <c r="G55" i="51"/>
  <c r="H55" i="51"/>
  <c r="G56" i="51"/>
  <c r="H56" i="51"/>
  <c r="G57" i="51"/>
  <c r="H57" i="51"/>
  <c r="G53" i="51"/>
  <c r="H53" i="51"/>
  <c r="X84" i="69" l="1"/>
  <c r="J85" i="68"/>
  <c r="X84" i="68"/>
  <c r="K84" i="68"/>
  <c r="X84" i="67"/>
  <c r="K84" i="67"/>
  <c r="J85" i="67"/>
  <c r="H50" i="46"/>
  <c r="H51" i="46"/>
  <c r="H27" i="46"/>
  <c r="H17" i="46"/>
  <c r="Y84" i="69" l="1"/>
  <c r="Y84" i="67"/>
  <c r="K85" i="67"/>
  <c r="L84" i="67"/>
  <c r="K85" i="68"/>
  <c r="L84" i="68"/>
  <c r="Y84" i="68"/>
  <c r="Q137" i="61"/>
  <c r="Q136" i="61"/>
  <c r="Q135" i="61"/>
  <c r="L135" i="61"/>
  <c r="J135" i="61"/>
  <c r="I135" i="61"/>
  <c r="H135" i="61"/>
  <c r="G135" i="61"/>
  <c r="F135" i="61"/>
  <c r="F136" i="61" s="1"/>
  <c r="F137" i="61" s="1"/>
  <c r="Q134" i="61"/>
  <c r="L134" i="61"/>
  <c r="J134" i="61"/>
  <c r="I134" i="61"/>
  <c r="H134" i="61"/>
  <c r="G134" i="61"/>
  <c r="F134" i="61"/>
  <c r="Q133" i="61"/>
  <c r="Q132" i="61"/>
  <c r="Q131" i="61"/>
  <c r="L131" i="61"/>
  <c r="J131" i="61"/>
  <c r="I131" i="61"/>
  <c r="H131" i="61"/>
  <c r="G131" i="61"/>
  <c r="F131" i="61"/>
  <c r="F132" i="61" s="1"/>
  <c r="F133" i="61" s="1"/>
  <c r="Q130" i="61"/>
  <c r="L130" i="61"/>
  <c r="J130" i="61"/>
  <c r="I130" i="61"/>
  <c r="H130" i="61"/>
  <c r="G130" i="61"/>
  <c r="F130" i="61"/>
  <c r="A2" i="61"/>
  <c r="A1" i="61"/>
  <c r="G21" i="46"/>
  <c r="I51" i="69" s="1"/>
  <c r="H65" i="46"/>
  <c r="I65" i="46"/>
  <c r="G65" i="46"/>
  <c r="G18" i="46"/>
  <c r="H18" i="46"/>
  <c r="H64" i="46"/>
  <c r="H63" i="46"/>
  <c r="H62" i="46"/>
  <c r="H61" i="46"/>
  <c r="H52" i="46"/>
  <c r="H56" i="46"/>
  <c r="H53" i="46"/>
  <c r="H55" i="46"/>
  <c r="H54" i="46"/>
  <c r="H30" i="46"/>
  <c r="I22" i="69" s="1"/>
  <c r="H31" i="46"/>
  <c r="I17" i="69" s="1"/>
  <c r="H32" i="46"/>
  <c r="H33" i="46"/>
  <c r="H29" i="46"/>
  <c r="I32" i="69" s="1"/>
  <c r="H28" i="46"/>
  <c r="H21" i="46"/>
  <c r="I52" i="69" s="1"/>
  <c r="H22" i="46"/>
  <c r="H20" i="46"/>
  <c r="H19" i="46"/>
  <c r="I62" i="69" l="1"/>
  <c r="I37" i="70"/>
  <c r="I27" i="69"/>
  <c r="I17" i="70"/>
  <c r="I72" i="69"/>
  <c r="I47" i="70"/>
  <c r="I37" i="69"/>
  <c r="I22" i="70"/>
  <c r="I47" i="69"/>
  <c r="I32" i="70"/>
  <c r="I42" i="69"/>
  <c r="I27" i="70"/>
  <c r="I71" i="69"/>
  <c r="I46" i="70"/>
  <c r="I77" i="69"/>
  <c r="I52" i="70"/>
  <c r="Z84" i="69"/>
  <c r="Z84" i="67"/>
  <c r="L85" i="67"/>
  <c r="Z84" i="68"/>
  <c r="L85" i="68"/>
  <c r="I46" i="68"/>
  <c r="I38" i="68"/>
  <c r="I36" i="68"/>
  <c r="I22" i="67"/>
  <c r="I17" i="67"/>
  <c r="I27" i="67"/>
  <c r="I32" i="67"/>
  <c r="I37" i="67"/>
  <c r="I17" i="68"/>
  <c r="I22" i="68"/>
  <c r="I47" i="68"/>
  <c r="I42" i="68"/>
  <c r="I32" i="68"/>
  <c r="I37" i="68"/>
  <c r="I107" i="61"/>
  <c r="I122" i="61"/>
  <c r="I92" i="61"/>
  <c r="I117" i="61"/>
  <c r="I32" i="61"/>
  <c r="I57" i="61"/>
  <c r="I112" i="61"/>
  <c r="I97" i="61"/>
  <c r="I87" i="61"/>
  <c r="I22" i="61"/>
  <c r="I37" i="61"/>
  <c r="I102" i="61"/>
  <c r="I82" i="61"/>
  <c r="I67" i="61"/>
  <c r="I77" i="61"/>
  <c r="I27" i="61"/>
  <c r="I42" i="61"/>
  <c r="I52" i="61"/>
  <c r="I72" i="61"/>
  <c r="I47" i="61"/>
  <c r="I62" i="61"/>
  <c r="I17" i="61"/>
  <c r="T132" i="61"/>
  <c r="G132" i="61"/>
  <c r="G133" i="61" s="1"/>
  <c r="T136" i="61"/>
  <c r="G136" i="61"/>
  <c r="G137" i="61" s="1"/>
  <c r="A22" i="50"/>
  <c r="A25" i="50"/>
  <c r="H136" i="61" l="1"/>
  <c r="H137" i="61" s="1"/>
  <c r="U136" i="61"/>
  <c r="H132" i="61"/>
  <c r="H133" i="61" s="1"/>
  <c r="U132" i="61"/>
  <c r="A60" i="46"/>
  <c r="A65" i="46"/>
  <c r="A61" i="46"/>
  <c r="A64" i="46"/>
  <c r="A63" i="46"/>
  <c r="A62" i="46"/>
  <c r="A66" i="46"/>
  <c r="V132" i="61" l="1"/>
  <c r="I132" i="61"/>
  <c r="I133" i="61" s="1"/>
  <c r="V136" i="61"/>
  <c r="I136" i="61"/>
  <c r="I137" i="61" s="1"/>
  <c r="J136" i="61" l="1"/>
  <c r="J137" i="61" s="1"/>
  <c r="W136" i="61"/>
  <c r="J132" i="61"/>
  <c r="J133" i="61" s="1"/>
  <c r="W132" i="61"/>
  <c r="A57" i="53"/>
  <c r="A56" i="53"/>
  <c r="A55" i="53"/>
  <c r="A54" i="53"/>
  <c r="A53" i="53"/>
  <c r="A52" i="53"/>
  <c r="A51" i="53"/>
  <c r="A50" i="53"/>
  <c r="K19" i="50"/>
  <c r="K33" i="69" s="1"/>
  <c r="J29" i="50"/>
  <c r="K16" i="69" s="1"/>
  <c r="J27" i="50"/>
  <c r="J26" i="50"/>
  <c r="K56" i="69" s="1"/>
  <c r="K30" i="50"/>
  <c r="K23" i="69" s="1"/>
  <c r="J20" i="50"/>
  <c r="K51" i="69" s="1"/>
  <c r="J35" i="50"/>
  <c r="K33" i="50"/>
  <c r="K24" i="50"/>
  <c r="J34" i="50"/>
  <c r="J19" i="50"/>
  <c r="K31" i="69" s="1"/>
  <c r="G22" i="50"/>
  <c r="H22" i="50"/>
  <c r="I22" i="50"/>
  <c r="J22" i="50"/>
  <c r="G29" i="50"/>
  <c r="H29" i="50"/>
  <c r="I29" i="50"/>
  <c r="G27" i="50"/>
  <c r="H27" i="50"/>
  <c r="I27" i="50"/>
  <c r="G26" i="50"/>
  <c r="H26" i="50"/>
  <c r="I26" i="50"/>
  <c r="G30" i="50"/>
  <c r="H30" i="50"/>
  <c r="I30" i="50"/>
  <c r="G20" i="50"/>
  <c r="H20" i="50"/>
  <c r="I20" i="50"/>
  <c r="K20" i="50"/>
  <c r="K53" i="69" s="1"/>
  <c r="G35" i="50"/>
  <c r="H35" i="50"/>
  <c r="I35" i="50"/>
  <c r="G24" i="50"/>
  <c r="H24" i="50"/>
  <c r="I24" i="50"/>
  <c r="H34" i="50"/>
  <c r="I34" i="50"/>
  <c r="K34" i="50"/>
  <c r="J101" i="61"/>
  <c r="J103" i="61"/>
  <c r="H16" i="69"/>
  <c r="H61" i="69"/>
  <c r="H26" i="69"/>
  <c r="H21" i="69"/>
  <c r="G38" i="44"/>
  <c r="H38" i="44"/>
  <c r="I38" i="44"/>
  <c r="J38" i="44"/>
  <c r="H36" i="69"/>
  <c r="H76" i="69"/>
  <c r="H41" i="69"/>
  <c r="G28" i="69"/>
  <c r="G26" i="69"/>
  <c r="G73" i="69"/>
  <c r="G71" i="69"/>
  <c r="G23" i="69"/>
  <c r="G21" i="69"/>
  <c r="G18" i="69"/>
  <c r="G16" i="69"/>
  <c r="G38" i="70"/>
  <c r="G36" i="70"/>
  <c r="G58" i="69"/>
  <c r="G56" i="69"/>
  <c r="K42" i="51"/>
  <c r="H42" i="51" s="1"/>
  <c r="G42" i="51"/>
  <c r="K41" i="51"/>
  <c r="H41" i="51" s="1"/>
  <c r="G41" i="51"/>
  <c r="K40" i="51"/>
  <c r="H40" i="51" s="1"/>
  <c r="G40" i="51"/>
  <c r="K39" i="51"/>
  <c r="H39" i="51" s="1"/>
  <c r="G39" i="51"/>
  <c r="K38" i="51"/>
  <c r="H38" i="51" s="1"/>
  <c r="G38" i="51"/>
  <c r="K37" i="51"/>
  <c r="H37" i="51" s="1"/>
  <c r="G37" i="51"/>
  <c r="K36" i="51"/>
  <c r="H36" i="51" s="1"/>
  <c r="G36" i="51"/>
  <c r="K35" i="51"/>
  <c r="H35" i="51" s="1"/>
  <c r="G35" i="51"/>
  <c r="I57" i="46"/>
  <c r="G57" i="46"/>
  <c r="A57" i="46"/>
  <c r="I53" i="46"/>
  <c r="G53" i="46"/>
  <c r="A53" i="46"/>
  <c r="I52" i="46"/>
  <c r="G52" i="46"/>
  <c r="A52" i="46"/>
  <c r="I50" i="46"/>
  <c r="G50" i="46"/>
  <c r="A50" i="46"/>
  <c r="I55" i="46"/>
  <c r="G55" i="46"/>
  <c r="A55" i="46"/>
  <c r="I54" i="46"/>
  <c r="G54" i="46"/>
  <c r="A54" i="46"/>
  <c r="I56" i="46"/>
  <c r="G56" i="46"/>
  <c r="A56" i="46"/>
  <c r="I51" i="46"/>
  <c r="G51" i="46"/>
  <c r="A51" i="46"/>
  <c r="A34" i="46"/>
  <c r="G28" i="46"/>
  <c r="A28" i="46"/>
  <c r="G29" i="46"/>
  <c r="I31" i="69" s="1"/>
  <c r="A29" i="46"/>
  <c r="G33" i="46"/>
  <c r="A33" i="46"/>
  <c r="G30" i="46"/>
  <c r="I21" i="69" s="1"/>
  <c r="A30" i="46"/>
  <c r="G31" i="46"/>
  <c r="I16" i="69" s="1"/>
  <c r="A31" i="46"/>
  <c r="G32" i="46"/>
  <c r="A32" i="46"/>
  <c r="G27" i="46"/>
  <c r="A27" i="46"/>
  <c r="G60" i="46"/>
  <c r="I60" i="46"/>
  <c r="G61" i="46"/>
  <c r="I61" i="46"/>
  <c r="G64" i="46"/>
  <c r="I64" i="46"/>
  <c r="G63" i="46"/>
  <c r="I63" i="46"/>
  <c r="G62" i="46"/>
  <c r="I62" i="46"/>
  <c r="A67" i="46"/>
  <c r="G66" i="46"/>
  <c r="I66" i="46"/>
  <c r="G67" i="46"/>
  <c r="I67" i="46"/>
  <c r="A73" i="46"/>
  <c r="A74" i="46"/>
  <c r="A75" i="46"/>
  <c r="A76" i="46"/>
  <c r="A77" i="46"/>
  <c r="A78" i="46"/>
  <c r="A79" i="46"/>
  <c r="A80" i="46"/>
  <c r="A81" i="46"/>
  <c r="A82" i="46"/>
  <c r="A83" i="46"/>
  <c r="A84" i="46"/>
  <c r="A85" i="46"/>
  <c r="A86" i="46"/>
  <c r="A87" i="46"/>
  <c r="A88" i="46"/>
  <c r="A89" i="46"/>
  <c r="A90" i="46"/>
  <c r="A91" i="46"/>
  <c r="A92" i="46"/>
  <c r="A93" i="46"/>
  <c r="A94" i="46"/>
  <c r="A95" i="46"/>
  <c r="A96" i="46"/>
  <c r="A97" i="46"/>
  <c r="A98" i="46"/>
  <c r="G46" i="69"/>
  <c r="G48" i="69"/>
  <c r="AE37" i="45"/>
  <c r="AE38" i="45"/>
  <c r="G76" i="69"/>
  <c r="G78" i="69"/>
  <c r="A87" i="53"/>
  <c r="F23" i="69"/>
  <c r="F24" i="69" s="1"/>
  <c r="F22" i="69"/>
  <c r="F21" i="69"/>
  <c r="A86" i="53"/>
  <c r="A85" i="53"/>
  <c r="A84" i="53"/>
  <c r="A83" i="53"/>
  <c r="A82" i="53"/>
  <c r="A81" i="53"/>
  <c r="A78" i="53"/>
  <c r="A77" i="53"/>
  <c r="A76" i="53"/>
  <c r="A75" i="53"/>
  <c r="A74" i="53"/>
  <c r="F33" i="69"/>
  <c r="F34" i="69" s="1"/>
  <c r="F32" i="69"/>
  <c r="F31" i="69"/>
  <c r="A73" i="53"/>
  <c r="A72" i="53"/>
  <c r="A71" i="53"/>
  <c r="A68" i="53"/>
  <c r="A67" i="53"/>
  <c r="A66" i="53"/>
  <c r="A65" i="53"/>
  <c r="A64" i="53"/>
  <c r="A63" i="53"/>
  <c r="A62" i="53"/>
  <c r="A61" i="53"/>
  <c r="I22" i="46"/>
  <c r="I17" i="46"/>
  <c r="I19" i="46"/>
  <c r="I20" i="46"/>
  <c r="I21" i="46"/>
  <c r="I24" i="46"/>
  <c r="G12" i="54"/>
  <c r="G18" i="51"/>
  <c r="L36" i="70" s="1"/>
  <c r="H18" i="51"/>
  <c r="G20" i="51"/>
  <c r="L21" i="70" s="1"/>
  <c r="H20" i="51"/>
  <c r="G21" i="51"/>
  <c r="L31" i="70" s="1"/>
  <c r="H21" i="51"/>
  <c r="G22" i="51"/>
  <c r="L26" i="70" s="1"/>
  <c r="H22" i="51"/>
  <c r="L28" i="70" s="1"/>
  <c r="L68" i="69"/>
  <c r="G24" i="51"/>
  <c r="L16" i="70" s="1"/>
  <c r="H24" i="51"/>
  <c r="L18" i="70" s="1"/>
  <c r="B1" i="50"/>
  <c r="G25" i="50"/>
  <c r="H25" i="50"/>
  <c r="I25" i="50"/>
  <c r="K25" i="50"/>
  <c r="K31" i="50"/>
  <c r="G23" i="50"/>
  <c r="H23" i="50"/>
  <c r="I23" i="50"/>
  <c r="G37" i="50"/>
  <c r="H37" i="50"/>
  <c r="I37" i="50"/>
  <c r="J37" i="50"/>
  <c r="G19" i="50"/>
  <c r="H19" i="50"/>
  <c r="I19" i="50"/>
  <c r="A95" i="53"/>
  <c r="A96" i="53"/>
  <c r="A97" i="53"/>
  <c r="A98" i="53"/>
  <c r="A99" i="53"/>
  <c r="A100" i="53"/>
  <c r="A101" i="53"/>
  <c r="A102" i="53"/>
  <c r="A103" i="53"/>
  <c r="A104" i="53"/>
  <c r="A105" i="53"/>
  <c r="A106" i="53"/>
  <c r="A107" i="53"/>
  <c r="A108" i="53"/>
  <c r="A109" i="53"/>
  <c r="A110" i="53"/>
  <c r="A111" i="53"/>
  <c r="A112" i="53"/>
  <c r="A113" i="53"/>
  <c r="A114" i="53"/>
  <c r="A115" i="53"/>
  <c r="A116" i="53"/>
  <c r="A117" i="53"/>
  <c r="A118" i="53"/>
  <c r="A119" i="53"/>
  <c r="A120" i="53"/>
  <c r="A121" i="53"/>
  <c r="A122" i="53"/>
  <c r="A123" i="53"/>
  <c r="A124" i="53"/>
  <c r="A125" i="53"/>
  <c r="A126" i="53"/>
  <c r="I9" i="46"/>
  <c r="A24" i="46"/>
  <c r="G24" i="46"/>
  <c r="A21" i="46"/>
  <c r="A22" i="46"/>
  <c r="G22" i="46"/>
  <c r="A17" i="46"/>
  <c r="G17" i="46"/>
  <c r="A18" i="46"/>
  <c r="A23" i="46"/>
  <c r="A19" i="46"/>
  <c r="G19" i="46"/>
  <c r="A20" i="46"/>
  <c r="G20" i="46"/>
  <c r="A99" i="46"/>
  <c r="A100" i="46"/>
  <c r="A101" i="46"/>
  <c r="A102" i="46"/>
  <c r="A103" i="46"/>
  <c r="A104" i="46"/>
  <c r="H71" i="69"/>
  <c r="H46" i="69"/>
  <c r="H93" i="61"/>
  <c r="J111" i="61"/>
  <c r="J113" i="61"/>
  <c r="J96" i="61"/>
  <c r="J91" i="61"/>
  <c r="J92" i="61"/>
  <c r="K37" i="50"/>
  <c r="J25" i="50"/>
  <c r="K23" i="50"/>
  <c r="J23" i="50"/>
  <c r="K38" i="69" l="1"/>
  <c r="K23" i="70"/>
  <c r="K26" i="69"/>
  <c r="K16" i="70"/>
  <c r="I76" i="69"/>
  <c r="I51" i="70"/>
  <c r="I61" i="69"/>
  <c r="I36" i="70"/>
  <c r="I78" i="69"/>
  <c r="I53" i="70"/>
  <c r="I54" i="70" s="1"/>
  <c r="K28" i="69"/>
  <c r="K18" i="70"/>
  <c r="K19" i="70" s="1"/>
  <c r="I48" i="69"/>
  <c r="I33" i="70"/>
  <c r="I34" i="70" s="1"/>
  <c r="I36" i="69"/>
  <c r="I21" i="70"/>
  <c r="I41" i="69"/>
  <c r="I26" i="70"/>
  <c r="K76" i="69"/>
  <c r="K51" i="70"/>
  <c r="K46" i="69"/>
  <c r="K31" i="70"/>
  <c r="I46" i="69"/>
  <c r="I31" i="70"/>
  <c r="I68" i="69"/>
  <c r="I43" i="70"/>
  <c r="I44" i="70" s="1"/>
  <c r="K36" i="69"/>
  <c r="K21" i="70"/>
  <c r="I66" i="69"/>
  <c r="I41" i="70"/>
  <c r="L38" i="70"/>
  <c r="A29" i="51"/>
  <c r="A28" i="51"/>
  <c r="A25" i="51"/>
  <c r="I63" i="69"/>
  <c r="I38" i="70"/>
  <c r="I26" i="69"/>
  <c r="I16" i="70"/>
  <c r="K68" i="69"/>
  <c r="K43" i="70"/>
  <c r="F22" i="70"/>
  <c r="F37" i="69"/>
  <c r="T24" i="69"/>
  <c r="F25" i="69"/>
  <c r="T34" i="69"/>
  <c r="F35" i="69"/>
  <c r="F21" i="70"/>
  <c r="F36" i="69"/>
  <c r="F28" i="70"/>
  <c r="F43" i="69"/>
  <c r="F44" i="69" s="1"/>
  <c r="F27" i="70"/>
  <c r="F42" i="69"/>
  <c r="F23" i="70"/>
  <c r="F24" i="70" s="1"/>
  <c r="F38" i="69"/>
  <c r="F39" i="69" s="1"/>
  <c r="F26" i="70"/>
  <c r="F41" i="69"/>
  <c r="G33" i="69"/>
  <c r="G53" i="69"/>
  <c r="G54" i="69" s="1"/>
  <c r="G61" i="69"/>
  <c r="G39" i="70"/>
  <c r="M36" i="70"/>
  <c r="G31" i="69"/>
  <c r="G51" i="69"/>
  <c r="G63" i="69"/>
  <c r="M16" i="70"/>
  <c r="L19" i="70"/>
  <c r="Z19" i="70" s="1"/>
  <c r="L66" i="69"/>
  <c r="L41" i="70"/>
  <c r="L38" i="69"/>
  <c r="L43" i="70"/>
  <c r="L58" i="69"/>
  <c r="L33" i="70"/>
  <c r="L23" i="69"/>
  <c r="M21" i="69" s="1"/>
  <c r="AC21" i="69" s="1"/>
  <c r="L23" i="70"/>
  <c r="L63" i="69"/>
  <c r="M61" i="69" s="1"/>
  <c r="AC61" i="69" s="1"/>
  <c r="L61" i="69"/>
  <c r="L41" i="69"/>
  <c r="L16" i="69"/>
  <c r="L28" i="69"/>
  <c r="M26" i="69" s="1"/>
  <c r="AC26" i="69" s="1"/>
  <c r="L18" i="69"/>
  <c r="L46" i="69"/>
  <c r="L21" i="69"/>
  <c r="L56" i="69"/>
  <c r="L31" i="69"/>
  <c r="L43" i="69"/>
  <c r="L48" i="69"/>
  <c r="L33" i="69"/>
  <c r="A17" i="51"/>
  <c r="I53" i="69"/>
  <c r="I18" i="67"/>
  <c r="H16" i="67"/>
  <c r="H51" i="69"/>
  <c r="G24" i="69"/>
  <c r="G64" i="69"/>
  <c r="G79" i="69"/>
  <c r="G34" i="69"/>
  <c r="G59" i="69"/>
  <c r="G38" i="68"/>
  <c r="G68" i="69"/>
  <c r="M71" i="69"/>
  <c r="G74" i="69"/>
  <c r="G36" i="68"/>
  <c r="G66" i="69"/>
  <c r="G49" i="69"/>
  <c r="G19" i="69"/>
  <c r="G29" i="69"/>
  <c r="F27" i="68"/>
  <c r="F86" i="68"/>
  <c r="F86" i="67"/>
  <c r="G18" i="68"/>
  <c r="G38" i="67"/>
  <c r="G48" i="67"/>
  <c r="A27" i="51"/>
  <c r="A26" i="51"/>
  <c r="F37" i="68"/>
  <c r="F31" i="68"/>
  <c r="G41" i="68"/>
  <c r="G41" i="67"/>
  <c r="G86" i="67"/>
  <c r="G86" i="68"/>
  <c r="G16" i="68"/>
  <c r="F28" i="68"/>
  <c r="F29" i="68" s="1"/>
  <c r="F46" i="68"/>
  <c r="F21" i="68"/>
  <c r="F46" i="67"/>
  <c r="F31" i="67"/>
  <c r="F41" i="68"/>
  <c r="F26" i="67"/>
  <c r="F16" i="68"/>
  <c r="F16" i="67"/>
  <c r="F21" i="67"/>
  <c r="F41" i="67"/>
  <c r="G21" i="68"/>
  <c r="G33" i="67"/>
  <c r="G26" i="68"/>
  <c r="G18" i="67"/>
  <c r="F61" i="67"/>
  <c r="F61" i="68"/>
  <c r="G43" i="68"/>
  <c r="G43" i="67"/>
  <c r="G88" i="68"/>
  <c r="G88" i="67"/>
  <c r="F38" i="67"/>
  <c r="F39" i="67" s="1"/>
  <c r="G23" i="67"/>
  <c r="G31" i="67"/>
  <c r="G16" i="67"/>
  <c r="F87" i="67"/>
  <c r="F87" i="68"/>
  <c r="F36" i="67"/>
  <c r="F32" i="68"/>
  <c r="F88" i="67"/>
  <c r="F88" i="68"/>
  <c r="F38" i="68"/>
  <c r="F39" i="68" s="1"/>
  <c r="F47" i="68"/>
  <c r="F22" i="68"/>
  <c r="F47" i="67"/>
  <c r="F32" i="67"/>
  <c r="F42" i="68"/>
  <c r="F27" i="67"/>
  <c r="F17" i="68"/>
  <c r="F17" i="67"/>
  <c r="F22" i="67"/>
  <c r="F42" i="67"/>
  <c r="G61" i="68"/>
  <c r="G61" i="67"/>
  <c r="G23" i="68"/>
  <c r="G71" i="67"/>
  <c r="G71" i="68"/>
  <c r="G28" i="68"/>
  <c r="H81" i="67"/>
  <c r="H81" i="68"/>
  <c r="F62" i="68"/>
  <c r="F62" i="67"/>
  <c r="F36" i="68"/>
  <c r="F26" i="68"/>
  <c r="F37" i="67"/>
  <c r="F33" i="68"/>
  <c r="F34" i="68" s="1"/>
  <c r="F48" i="68"/>
  <c r="F49" i="68" s="1"/>
  <c r="F23" i="68"/>
  <c r="F24" i="68" s="1"/>
  <c r="F48" i="67"/>
  <c r="F33" i="67"/>
  <c r="F34" i="67" s="1"/>
  <c r="F43" i="68"/>
  <c r="F44" i="68" s="1"/>
  <c r="F28" i="67"/>
  <c r="F29" i="67" s="1"/>
  <c r="F18" i="68"/>
  <c r="F19" i="68" s="1"/>
  <c r="F18" i="67"/>
  <c r="F19" i="67" s="1"/>
  <c r="F23" i="67"/>
  <c r="F24" i="67" s="1"/>
  <c r="F43" i="67"/>
  <c r="G21" i="67"/>
  <c r="G63" i="67"/>
  <c r="G63" i="68"/>
  <c r="G36" i="67"/>
  <c r="G73" i="67"/>
  <c r="G74" i="67" s="1"/>
  <c r="G73" i="68"/>
  <c r="G74" i="68" s="1"/>
  <c r="F63" i="68"/>
  <c r="F63" i="67"/>
  <c r="L38" i="67"/>
  <c r="L36" i="67"/>
  <c r="L18" i="68"/>
  <c r="L16" i="68"/>
  <c r="L33" i="67"/>
  <c r="L31" i="67"/>
  <c r="L28" i="67"/>
  <c r="L26" i="67"/>
  <c r="L18" i="67"/>
  <c r="L16" i="67"/>
  <c r="L33" i="68"/>
  <c r="L31" i="68"/>
  <c r="I41" i="67"/>
  <c r="I21" i="67"/>
  <c r="I16" i="67"/>
  <c r="I26" i="67"/>
  <c r="I31" i="67"/>
  <c r="I36" i="67"/>
  <c r="I16" i="68"/>
  <c r="I21" i="68"/>
  <c r="I23" i="68"/>
  <c r="I48" i="68"/>
  <c r="I43" i="68"/>
  <c r="I41" i="68"/>
  <c r="I31" i="68"/>
  <c r="I33" i="68"/>
  <c r="H26" i="68"/>
  <c r="H21" i="68"/>
  <c r="H41" i="67"/>
  <c r="H46" i="68"/>
  <c r="H16" i="68"/>
  <c r="H21" i="67"/>
  <c r="H36" i="68"/>
  <c r="H31" i="68"/>
  <c r="H31" i="67"/>
  <c r="H26" i="67"/>
  <c r="K16" i="67"/>
  <c r="K26" i="61"/>
  <c r="K36" i="67"/>
  <c r="K31" i="61"/>
  <c r="K63" i="61"/>
  <c r="K28" i="68"/>
  <c r="K38" i="67"/>
  <c r="K33" i="61"/>
  <c r="K16" i="68"/>
  <c r="K71" i="61"/>
  <c r="K31" i="67"/>
  <c r="K56" i="61"/>
  <c r="K21" i="67"/>
  <c r="K66" i="61"/>
  <c r="K18" i="67"/>
  <c r="K28" i="61"/>
  <c r="K26" i="68"/>
  <c r="K61" i="61"/>
  <c r="K73" i="61"/>
  <c r="K18" i="68"/>
  <c r="K46" i="61"/>
  <c r="K21" i="68"/>
  <c r="K51" i="61"/>
  <c r="K43" i="61"/>
  <c r="K38" i="68"/>
  <c r="K33" i="68"/>
  <c r="K38" i="61"/>
  <c r="K41" i="68"/>
  <c r="K21" i="61"/>
  <c r="K53" i="61"/>
  <c r="K23" i="68"/>
  <c r="G43" i="61"/>
  <c r="G41" i="61"/>
  <c r="A42" i="51"/>
  <c r="A41" i="51"/>
  <c r="A40" i="51"/>
  <c r="A39" i="51"/>
  <c r="A38" i="51"/>
  <c r="A37" i="51"/>
  <c r="A36" i="51"/>
  <c r="A24" i="51"/>
  <c r="A23" i="51"/>
  <c r="A22" i="51"/>
  <c r="A21" i="51"/>
  <c r="A20" i="51"/>
  <c r="A19" i="51"/>
  <c r="A18" i="51"/>
  <c r="L118" i="61"/>
  <c r="L123" i="61"/>
  <c r="L108" i="61"/>
  <c r="L116" i="61"/>
  <c r="L111" i="61"/>
  <c r="L56" i="61"/>
  <c r="L113" i="61"/>
  <c r="L58" i="61"/>
  <c r="L106" i="61"/>
  <c r="L121" i="61"/>
  <c r="I58" i="61"/>
  <c r="I106" i="61"/>
  <c r="F97" i="61"/>
  <c r="F102" i="61"/>
  <c r="F92" i="61"/>
  <c r="F57" i="61"/>
  <c r="F112" i="61"/>
  <c r="F107" i="61"/>
  <c r="F122" i="61"/>
  <c r="F117" i="61"/>
  <c r="I93" i="61"/>
  <c r="I96" i="61"/>
  <c r="I101" i="61"/>
  <c r="I56" i="61"/>
  <c r="I91" i="61"/>
  <c r="I98" i="61"/>
  <c r="I103" i="61"/>
  <c r="H56" i="61"/>
  <c r="G58" i="61"/>
  <c r="G56" i="61"/>
  <c r="F56" i="61"/>
  <c r="F58" i="61"/>
  <c r="I111" i="61"/>
  <c r="I113" i="61"/>
  <c r="I123" i="61"/>
  <c r="I121" i="61"/>
  <c r="I118" i="61"/>
  <c r="I116" i="61"/>
  <c r="I16" i="61"/>
  <c r="H91" i="61"/>
  <c r="H111" i="61"/>
  <c r="H116" i="61"/>
  <c r="H96" i="61"/>
  <c r="H101" i="61"/>
  <c r="G78" i="61"/>
  <c r="G63" i="61"/>
  <c r="G23" i="61"/>
  <c r="G123" i="61"/>
  <c r="G33" i="61"/>
  <c r="G83" i="61"/>
  <c r="G28" i="61"/>
  <c r="G101" i="61"/>
  <c r="G98" i="61"/>
  <c r="G66" i="61"/>
  <c r="G88" i="61"/>
  <c r="G71" i="61"/>
  <c r="G108" i="61"/>
  <c r="G53" i="61"/>
  <c r="G16" i="61"/>
  <c r="G91" i="61"/>
  <c r="G48" i="61"/>
  <c r="G76" i="61"/>
  <c r="G61" i="61"/>
  <c r="G21" i="61"/>
  <c r="G121" i="61"/>
  <c r="G31" i="61"/>
  <c r="G81" i="61"/>
  <c r="G26" i="61"/>
  <c r="G103" i="61"/>
  <c r="G96" i="61"/>
  <c r="G68" i="61"/>
  <c r="G86" i="61"/>
  <c r="G73" i="61"/>
  <c r="G106" i="61"/>
  <c r="G51" i="61"/>
  <c r="G18" i="61"/>
  <c r="G93" i="61"/>
  <c r="G46" i="61"/>
  <c r="G38" i="61"/>
  <c r="G36" i="61"/>
  <c r="F96" i="61"/>
  <c r="F98" i="61"/>
  <c r="F99" i="61" s="1"/>
  <c r="F101" i="61"/>
  <c r="F103" i="61"/>
  <c r="F104" i="61" s="1"/>
  <c r="F105" i="61" s="1"/>
  <c r="F91" i="61"/>
  <c r="F93" i="61"/>
  <c r="F94" i="61" s="1"/>
  <c r="F111" i="61"/>
  <c r="F113" i="61"/>
  <c r="F114" i="61" s="1"/>
  <c r="F115" i="61" s="1"/>
  <c r="F106" i="61"/>
  <c r="F108" i="61"/>
  <c r="F109" i="61" s="1"/>
  <c r="F110" i="61" s="1"/>
  <c r="F121" i="61"/>
  <c r="F123" i="61"/>
  <c r="F124" i="61" s="1"/>
  <c r="F116" i="61"/>
  <c r="F118" i="61"/>
  <c r="F119" i="61" s="1"/>
  <c r="F120" i="61" s="1"/>
  <c r="L51" i="61"/>
  <c r="L53" i="61"/>
  <c r="L41" i="61"/>
  <c r="L93" i="61"/>
  <c r="L91" i="61"/>
  <c r="L43" i="61"/>
  <c r="J51" i="61"/>
  <c r="J68" i="61"/>
  <c r="J18" i="61"/>
  <c r="J43" i="61"/>
  <c r="J21" i="61"/>
  <c r="J66" i="61"/>
  <c r="J16" i="61"/>
  <c r="J41" i="61"/>
  <c r="I41" i="61"/>
  <c r="I18" i="61"/>
  <c r="I53" i="61"/>
  <c r="I43" i="61"/>
  <c r="I51" i="61"/>
  <c r="H43" i="61"/>
  <c r="H51" i="61"/>
  <c r="H41" i="61"/>
  <c r="H53" i="61"/>
  <c r="F61" i="61"/>
  <c r="F63" i="61"/>
  <c r="F64" i="61" s="1"/>
  <c r="F76" i="61"/>
  <c r="F78" i="61"/>
  <c r="F79" i="61" s="1"/>
  <c r="F31" i="61"/>
  <c r="F33" i="61"/>
  <c r="F34" i="61" s="1"/>
  <c r="F26" i="61"/>
  <c r="F28" i="61"/>
  <c r="F29" i="61" s="1"/>
  <c r="F36" i="61"/>
  <c r="F38" i="61"/>
  <c r="F39" i="61" s="1"/>
  <c r="F62" i="61"/>
  <c r="F77" i="61"/>
  <c r="F32" i="61"/>
  <c r="F27" i="61"/>
  <c r="F37" i="61"/>
  <c r="F22" i="61"/>
  <c r="F72" i="61"/>
  <c r="F52" i="61"/>
  <c r="F67" i="61"/>
  <c r="F47" i="61"/>
  <c r="F21" i="61"/>
  <c r="F23" i="61"/>
  <c r="F24" i="61" s="1"/>
  <c r="F71" i="61"/>
  <c r="F73" i="61"/>
  <c r="F74" i="61" s="1"/>
  <c r="F51" i="61"/>
  <c r="F53" i="61"/>
  <c r="F66" i="61"/>
  <c r="F68" i="61"/>
  <c r="F69" i="61" s="1"/>
  <c r="F46" i="61"/>
  <c r="F48" i="61"/>
  <c r="F49" i="61" s="1"/>
  <c r="F87" i="61"/>
  <c r="F17" i="61"/>
  <c r="F82" i="61"/>
  <c r="F42" i="61"/>
  <c r="F41" i="61"/>
  <c r="F43" i="61"/>
  <c r="F81" i="61"/>
  <c r="F83" i="61"/>
  <c r="F84" i="61" s="1"/>
  <c r="F16" i="61"/>
  <c r="F18" i="61"/>
  <c r="F19" i="61" s="1"/>
  <c r="F86" i="61"/>
  <c r="F88" i="61"/>
  <c r="F89" i="61" s="1"/>
  <c r="F90" i="61" s="1"/>
  <c r="L48" i="61"/>
  <c r="L46" i="61"/>
  <c r="L36" i="61"/>
  <c r="L86" i="61"/>
  <c r="L31" i="61"/>
  <c r="L26" i="61"/>
  <c r="L21" i="61"/>
  <c r="L16" i="61"/>
  <c r="L61" i="61"/>
  <c r="L68" i="61"/>
  <c r="L71" i="61"/>
  <c r="L78" i="61"/>
  <c r="L83" i="61"/>
  <c r="L38" i="61"/>
  <c r="L88" i="61"/>
  <c r="L33" i="61"/>
  <c r="L28" i="61"/>
  <c r="L23" i="61"/>
  <c r="L18" i="61"/>
  <c r="L63" i="61"/>
  <c r="L66" i="61"/>
  <c r="L73" i="61"/>
  <c r="L76" i="61"/>
  <c r="L81" i="61"/>
  <c r="J76" i="61"/>
  <c r="J88" i="61"/>
  <c r="J86" i="61"/>
  <c r="J46" i="61"/>
  <c r="J48" i="61"/>
  <c r="J81" i="61"/>
  <c r="J26" i="61"/>
  <c r="J28" i="61"/>
  <c r="J71" i="61"/>
  <c r="J73" i="61"/>
  <c r="J38" i="61"/>
  <c r="J36" i="61"/>
  <c r="J61" i="61"/>
  <c r="J63" i="61"/>
  <c r="J33" i="61"/>
  <c r="J31" i="61"/>
  <c r="I78" i="61"/>
  <c r="I76" i="61"/>
  <c r="I63" i="61"/>
  <c r="I33" i="61"/>
  <c r="I61" i="61"/>
  <c r="I31" i="61"/>
  <c r="I26" i="61"/>
  <c r="I38" i="61"/>
  <c r="I36" i="61"/>
  <c r="I48" i="61"/>
  <c r="I46" i="61"/>
  <c r="I68" i="61"/>
  <c r="I66" i="61"/>
  <c r="I73" i="61"/>
  <c r="I71" i="61"/>
  <c r="I23" i="61"/>
  <c r="I21" i="61"/>
  <c r="I81" i="61"/>
  <c r="I83" i="61"/>
  <c r="I86" i="61"/>
  <c r="I88" i="61"/>
  <c r="H76" i="61"/>
  <c r="H78" i="61"/>
  <c r="H73" i="61"/>
  <c r="H71" i="61"/>
  <c r="H81" i="61"/>
  <c r="H83" i="61"/>
  <c r="H46" i="61"/>
  <c r="H48" i="61"/>
  <c r="H16" i="61"/>
  <c r="H18" i="61"/>
  <c r="H63" i="61"/>
  <c r="H61" i="61"/>
  <c r="H26" i="61"/>
  <c r="H28" i="61"/>
  <c r="H86" i="61"/>
  <c r="H88" i="61"/>
  <c r="H68" i="61"/>
  <c r="H66" i="61"/>
  <c r="H21" i="61"/>
  <c r="H23" i="61"/>
  <c r="H33" i="61"/>
  <c r="H31" i="61"/>
  <c r="H36" i="61"/>
  <c r="H38" i="61"/>
  <c r="I28" i="61"/>
  <c r="X132" i="61"/>
  <c r="K132" i="61"/>
  <c r="K133" i="61" s="1"/>
  <c r="X136" i="61"/>
  <c r="K136" i="61"/>
  <c r="K137" i="61" s="1"/>
  <c r="J24" i="50"/>
  <c r="K27" i="50"/>
  <c r="K35" i="50"/>
  <c r="J30" i="50"/>
  <c r="K21" i="69" s="1"/>
  <c r="J112" i="61"/>
  <c r="J53" i="61"/>
  <c r="J98" i="61"/>
  <c r="K29" i="50"/>
  <c r="K18" i="69" s="1"/>
  <c r="M16" i="69" s="1"/>
  <c r="AC16" i="69" s="1"/>
  <c r="K26" i="50"/>
  <c r="K58" i="69" s="1"/>
  <c r="K22" i="50"/>
  <c r="J102" i="61"/>
  <c r="Y19" i="70" l="1"/>
  <c r="K20" i="70"/>
  <c r="K66" i="69"/>
  <c r="K41" i="70"/>
  <c r="W44" i="70"/>
  <c r="J44" i="70"/>
  <c r="I45" i="70"/>
  <c r="J34" i="70"/>
  <c r="W34" i="70"/>
  <c r="I35" i="70"/>
  <c r="J54" i="70"/>
  <c r="W54" i="70"/>
  <c r="I55" i="70"/>
  <c r="K78" i="69"/>
  <c r="AC76" i="69" s="1"/>
  <c r="K53" i="70"/>
  <c r="K48" i="69"/>
  <c r="M46" i="69" s="1"/>
  <c r="AC46" i="69" s="1"/>
  <c r="K33" i="70"/>
  <c r="G24" i="70"/>
  <c r="T24" i="70"/>
  <c r="F25" i="70"/>
  <c r="F29" i="70"/>
  <c r="M26" i="70"/>
  <c r="M36" i="69"/>
  <c r="AC36" i="69" s="1"/>
  <c r="T39" i="69"/>
  <c r="F40" i="69"/>
  <c r="G39" i="69"/>
  <c r="T44" i="69"/>
  <c r="F45" i="69"/>
  <c r="G44" i="69"/>
  <c r="M31" i="69"/>
  <c r="AC36" i="70"/>
  <c r="N36" i="70"/>
  <c r="AD36" i="70" s="1"/>
  <c r="U54" i="69"/>
  <c r="H54" i="69"/>
  <c r="V54" i="69" s="1"/>
  <c r="U39" i="70"/>
  <c r="H39" i="70"/>
  <c r="G40" i="70"/>
  <c r="N16" i="70"/>
  <c r="AD16" i="70" s="1"/>
  <c r="AC16" i="70"/>
  <c r="M41" i="70"/>
  <c r="M31" i="70"/>
  <c r="M56" i="69"/>
  <c r="M21" i="70"/>
  <c r="M41" i="69"/>
  <c r="N36" i="69"/>
  <c r="AD36" i="69" s="1"/>
  <c r="M51" i="69"/>
  <c r="N21" i="69"/>
  <c r="AD21" i="69" s="1"/>
  <c r="U24" i="69"/>
  <c r="H24" i="69"/>
  <c r="H64" i="69"/>
  <c r="U64" i="69"/>
  <c r="N61" i="69"/>
  <c r="AD61" i="69" s="1"/>
  <c r="U19" i="69"/>
  <c r="H19" i="69"/>
  <c r="AD86" i="69"/>
  <c r="AC86" i="69"/>
  <c r="S60" i="69"/>
  <c r="Q79" i="69"/>
  <c r="AD76" i="69"/>
  <c r="N16" i="69"/>
  <c r="AD16" i="69" s="1"/>
  <c r="U89" i="69"/>
  <c r="U59" i="69"/>
  <c r="H59" i="69"/>
  <c r="H79" i="69"/>
  <c r="U79" i="69"/>
  <c r="N26" i="69"/>
  <c r="AD26" i="69" s="1"/>
  <c r="N46" i="69"/>
  <c r="AD46" i="69" s="1"/>
  <c r="N71" i="69"/>
  <c r="AD71" i="69" s="1"/>
  <c r="H34" i="69"/>
  <c r="U34" i="69"/>
  <c r="U29" i="69"/>
  <c r="H29" i="69"/>
  <c r="U49" i="69"/>
  <c r="H49" i="69"/>
  <c r="U74" i="69"/>
  <c r="H74" i="69"/>
  <c r="M66" i="69"/>
  <c r="AC66" i="69" s="1"/>
  <c r="G69" i="69"/>
  <c r="N31" i="69"/>
  <c r="AD31" i="69" s="1"/>
  <c r="T19" i="68"/>
  <c r="G19" i="68"/>
  <c r="F64" i="67"/>
  <c r="M61" i="67"/>
  <c r="G24" i="67"/>
  <c r="T24" i="67"/>
  <c r="T44" i="68"/>
  <c r="G44" i="68"/>
  <c r="G49" i="68"/>
  <c r="T49" i="68"/>
  <c r="F89" i="68"/>
  <c r="M86" i="68"/>
  <c r="T39" i="67"/>
  <c r="G39" i="67"/>
  <c r="G29" i="68"/>
  <c r="T29" i="68"/>
  <c r="U74" i="68"/>
  <c r="G75" i="68"/>
  <c r="H74" i="68"/>
  <c r="F49" i="67"/>
  <c r="M46" i="67"/>
  <c r="N46" i="67" s="1"/>
  <c r="AD46" i="67" s="1"/>
  <c r="F64" i="68"/>
  <c r="M61" i="68"/>
  <c r="G75" i="67"/>
  <c r="U74" i="67"/>
  <c r="H74" i="67"/>
  <c r="T19" i="67"/>
  <c r="G19" i="67"/>
  <c r="T34" i="67"/>
  <c r="G34" i="67"/>
  <c r="G24" i="68"/>
  <c r="T24" i="68"/>
  <c r="T34" i="68"/>
  <c r="G34" i="68"/>
  <c r="F89" i="67"/>
  <c r="M86" i="67"/>
  <c r="F44" i="67"/>
  <c r="M41" i="67"/>
  <c r="N41" i="67" s="1"/>
  <c r="AD41" i="67" s="1"/>
  <c r="T29" i="67"/>
  <c r="G29" i="67"/>
  <c r="G39" i="68"/>
  <c r="T39" i="68"/>
  <c r="M26" i="67"/>
  <c r="N26" i="67" s="1"/>
  <c r="AD26" i="67" s="1"/>
  <c r="X49" i="68"/>
  <c r="K48" i="61"/>
  <c r="M46" i="61" s="1"/>
  <c r="K68" i="61"/>
  <c r="M66" i="61" s="1"/>
  <c r="K23" i="67"/>
  <c r="K31" i="68"/>
  <c r="K36" i="61"/>
  <c r="K43" i="68"/>
  <c r="K23" i="61"/>
  <c r="M21" i="68"/>
  <c r="M16" i="68"/>
  <c r="K33" i="67"/>
  <c r="K58" i="61"/>
  <c r="M56" i="61" s="1"/>
  <c r="K36" i="68"/>
  <c r="K41" i="61"/>
  <c r="M31" i="68"/>
  <c r="M36" i="68"/>
  <c r="M16" i="67"/>
  <c r="M36" i="67"/>
  <c r="M26" i="68"/>
  <c r="T94" i="61"/>
  <c r="F95" i="61"/>
  <c r="M96" i="61"/>
  <c r="A96" i="61" s="1"/>
  <c r="M111" i="61"/>
  <c r="M116" i="61"/>
  <c r="M121" i="61"/>
  <c r="A121" i="61" s="1"/>
  <c r="G94" i="61"/>
  <c r="H94" i="61" s="1"/>
  <c r="M101" i="61"/>
  <c r="F59" i="61"/>
  <c r="M106" i="61"/>
  <c r="G124" i="61"/>
  <c r="T124" i="61"/>
  <c r="J77" i="61"/>
  <c r="J97" i="61"/>
  <c r="J22" i="61"/>
  <c r="J83" i="61"/>
  <c r="J93" i="61"/>
  <c r="M91" i="61" s="1"/>
  <c r="J23" i="61"/>
  <c r="G114" i="61"/>
  <c r="G115" i="61" s="1"/>
  <c r="T114" i="61"/>
  <c r="G109" i="61"/>
  <c r="G110" i="61" s="1"/>
  <c r="T109" i="61"/>
  <c r="G119" i="61"/>
  <c r="G120" i="61" s="1"/>
  <c r="T119" i="61"/>
  <c r="G99" i="61"/>
  <c r="T99" i="61"/>
  <c r="G104" i="61"/>
  <c r="G105" i="61" s="1"/>
  <c r="T104" i="61"/>
  <c r="T89" i="61"/>
  <c r="M41" i="61"/>
  <c r="M16" i="61"/>
  <c r="N16" i="61" s="1"/>
  <c r="J42" i="61"/>
  <c r="J52" i="61"/>
  <c r="J17" i="61"/>
  <c r="J67" i="61"/>
  <c r="G39" i="61"/>
  <c r="T39" i="61"/>
  <c r="T29" i="61"/>
  <c r="G29" i="61"/>
  <c r="T34" i="61"/>
  <c r="G34" i="61"/>
  <c r="G79" i="61"/>
  <c r="T79" i="61"/>
  <c r="G64" i="61"/>
  <c r="T64" i="61"/>
  <c r="T49" i="61"/>
  <c r="G49" i="61"/>
  <c r="T69" i="61"/>
  <c r="G69" i="61"/>
  <c r="F54" i="61"/>
  <c r="M51" i="61"/>
  <c r="T74" i="61"/>
  <c r="G74" i="61"/>
  <c r="G24" i="61"/>
  <c r="T24" i="61"/>
  <c r="F44" i="61"/>
  <c r="G84" i="61"/>
  <c r="T84" i="61"/>
  <c r="G19" i="61"/>
  <c r="T19" i="61"/>
  <c r="G89" i="61"/>
  <c r="G90" i="61" s="1"/>
  <c r="M61" i="61"/>
  <c r="M31" i="61"/>
  <c r="J78" i="61"/>
  <c r="J87" i="61"/>
  <c r="J47" i="61"/>
  <c r="J82" i="61"/>
  <c r="J27" i="61"/>
  <c r="J72" i="61"/>
  <c r="J37" i="61"/>
  <c r="J62" i="61"/>
  <c r="J32" i="61"/>
  <c r="M36" i="61"/>
  <c r="M71" i="61"/>
  <c r="M86" i="61"/>
  <c r="A86" i="61" s="1"/>
  <c r="M26" i="61"/>
  <c r="L132" i="61"/>
  <c r="L133" i="61" s="1"/>
  <c r="Y132" i="61"/>
  <c r="L136" i="61"/>
  <c r="L137" i="61" s="1"/>
  <c r="Y136" i="61"/>
  <c r="K34" i="70" l="1"/>
  <c r="X34" i="70"/>
  <c r="J35" i="70"/>
  <c r="X54" i="70"/>
  <c r="K54" i="70"/>
  <c r="J55" i="70"/>
  <c r="X44" i="70"/>
  <c r="K44" i="70"/>
  <c r="J45" i="70"/>
  <c r="U44" i="69"/>
  <c r="H44" i="69"/>
  <c r="N26" i="70"/>
  <c r="AD26" i="70" s="1"/>
  <c r="AC26" i="70"/>
  <c r="H24" i="70"/>
  <c r="U24" i="70"/>
  <c r="G25" i="70"/>
  <c r="U39" i="69"/>
  <c r="H39" i="69"/>
  <c r="T29" i="70"/>
  <c r="G29" i="70"/>
  <c r="F30" i="70"/>
  <c r="I54" i="69"/>
  <c r="J54" i="69" s="1"/>
  <c r="O36" i="70"/>
  <c r="O37" i="70"/>
  <c r="V39" i="70"/>
  <c r="I39" i="70"/>
  <c r="H40" i="70"/>
  <c r="O17" i="70"/>
  <c r="O16" i="70"/>
  <c r="AC41" i="70"/>
  <c r="N41" i="70"/>
  <c r="AD41" i="70" s="1"/>
  <c r="N56" i="69"/>
  <c r="AD56" i="69" s="1"/>
  <c r="O56" i="69" s="1"/>
  <c r="N31" i="70"/>
  <c r="AD31" i="70" s="1"/>
  <c r="AC31" i="70"/>
  <c r="N21" i="70"/>
  <c r="AD21" i="70" s="1"/>
  <c r="AC21" i="70"/>
  <c r="N41" i="69"/>
  <c r="AD41" i="69" s="1"/>
  <c r="AC41" i="69"/>
  <c r="O36" i="69"/>
  <c r="O37" i="69"/>
  <c r="N51" i="69"/>
  <c r="AD51" i="69" s="1"/>
  <c r="O22" i="69"/>
  <c r="O21" i="69"/>
  <c r="I24" i="69"/>
  <c r="V24" i="69"/>
  <c r="I64" i="69"/>
  <c r="V64" i="69"/>
  <c r="O61" i="69"/>
  <c r="O62" i="69"/>
  <c r="N66" i="69"/>
  <c r="AD66" i="69" s="1"/>
  <c r="I29" i="69"/>
  <c r="V29" i="69"/>
  <c r="V34" i="69"/>
  <c r="I34" i="69"/>
  <c r="O16" i="69"/>
  <c r="O17" i="69"/>
  <c r="U69" i="69"/>
  <c r="G65" i="69" s="1"/>
  <c r="H69" i="69"/>
  <c r="O47" i="69"/>
  <c r="O46" i="69"/>
  <c r="I59" i="69"/>
  <c r="V59" i="69"/>
  <c r="I19" i="69"/>
  <c r="V19" i="69"/>
  <c r="G80" i="69"/>
  <c r="I74" i="69"/>
  <c r="V74" i="69"/>
  <c r="V89" i="69"/>
  <c r="O31" i="69"/>
  <c r="O32" i="69"/>
  <c r="V49" i="69"/>
  <c r="I49" i="69"/>
  <c r="O71" i="69"/>
  <c r="O72" i="69"/>
  <c r="O26" i="69"/>
  <c r="O27" i="69"/>
  <c r="I79" i="69"/>
  <c r="V79" i="69"/>
  <c r="F25" i="68"/>
  <c r="F35" i="68"/>
  <c r="F45" i="68"/>
  <c r="U39" i="68"/>
  <c r="H39" i="68"/>
  <c r="U34" i="67"/>
  <c r="H34" i="67"/>
  <c r="U29" i="68"/>
  <c r="H29" i="68"/>
  <c r="G89" i="68"/>
  <c r="T89" i="68"/>
  <c r="F90" i="68"/>
  <c r="F20" i="68"/>
  <c r="U29" i="67"/>
  <c r="H29" i="67"/>
  <c r="N86" i="67"/>
  <c r="AD86" i="67" s="1"/>
  <c r="A86" i="67"/>
  <c r="N61" i="68"/>
  <c r="AD61" i="68" s="1"/>
  <c r="A61" i="68"/>
  <c r="U39" i="67"/>
  <c r="F50" i="68"/>
  <c r="U24" i="67"/>
  <c r="H24" i="67"/>
  <c r="N61" i="67"/>
  <c r="AD61" i="67" s="1"/>
  <c r="A61" i="67"/>
  <c r="U19" i="68"/>
  <c r="H19" i="68"/>
  <c r="M21" i="61"/>
  <c r="N21" i="61" s="1"/>
  <c r="AD21" i="61" s="1"/>
  <c r="F40" i="68"/>
  <c r="T44" i="67"/>
  <c r="G44" i="67"/>
  <c r="G89" i="67"/>
  <c r="T89" i="67"/>
  <c r="U34" i="68"/>
  <c r="H34" i="68"/>
  <c r="U24" i="68"/>
  <c r="H24" i="68"/>
  <c r="U19" i="67"/>
  <c r="H19" i="67"/>
  <c r="I74" i="67"/>
  <c r="V74" i="67"/>
  <c r="H75" i="67"/>
  <c r="T64" i="68"/>
  <c r="G64" i="68"/>
  <c r="F65" i="68"/>
  <c r="T49" i="67"/>
  <c r="G49" i="67"/>
  <c r="F30" i="68"/>
  <c r="G64" i="67"/>
  <c r="T64" i="67"/>
  <c r="V74" i="68"/>
  <c r="I74" i="68"/>
  <c r="H75" i="68"/>
  <c r="A86" i="68"/>
  <c r="N86" i="68"/>
  <c r="AD86" i="68" s="1"/>
  <c r="U49" i="68"/>
  <c r="H49" i="68"/>
  <c r="U44" i="68"/>
  <c r="H44" i="68"/>
  <c r="N26" i="68"/>
  <c r="AD26" i="68" s="1"/>
  <c r="N36" i="67"/>
  <c r="AD36" i="67" s="1"/>
  <c r="N16" i="67"/>
  <c r="AD16" i="67" s="1"/>
  <c r="N36" i="68"/>
  <c r="AD36" i="68" s="1"/>
  <c r="N31" i="68"/>
  <c r="AD31" i="68" s="1"/>
  <c r="M31" i="67"/>
  <c r="N16" i="68"/>
  <c r="AD16" i="68" s="1"/>
  <c r="N21" i="68"/>
  <c r="AD21" i="68" s="1"/>
  <c r="M46" i="68"/>
  <c r="M41" i="68"/>
  <c r="M21" i="67"/>
  <c r="V94" i="61"/>
  <c r="H95" i="61"/>
  <c r="H64" i="61"/>
  <c r="V64" i="61" s="1"/>
  <c r="U94" i="61"/>
  <c r="G95" i="61"/>
  <c r="N96" i="61"/>
  <c r="AD96" i="61" s="1"/>
  <c r="N106" i="61"/>
  <c r="AD106" i="61" s="1"/>
  <c r="A106" i="61"/>
  <c r="N116" i="61"/>
  <c r="AD116" i="61" s="1"/>
  <c r="A116" i="61"/>
  <c r="N91" i="61"/>
  <c r="AD91" i="61" s="1"/>
  <c r="A91" i="61"/>
  <c r="N56" i="61"/>
  <c r="AD56" i="61" s="1"/>
  <c r="N101" i="61"/>
  <c r="AD101" i="61" s="1"/>
  <c r="A101" i="61"/>
  <c r="N111" i="61"/>
  <c r="AD111" i="61" s="1"/>
  <c r="A111" i="61"/>
  <c r="M76" i="61"/>
  <c r="G59" i="61"/>
  <c r="T59" i="61"/>
  <c r="M81" i="61"/>
  <c r="H124" i="61"/>
  <c r="H125" i="61" s="1"/>
  <c r="U124" i="61"/>
  <c r="N121" i="61"/>
  <c r="AD121" i="61" s="1"/>
  <c r="I94" i="61"/>
  <c r="H99" i="61"/>
  <c r="H100" i="61" s="1"/>
  <c r="U99" i="61"/>
  <c r="H109" i="61"/>
  <c r="H110" i="61" s="1"/>
  <c r="U109" i="61"/>
  <c r="H104" i="61"/>
  <c r="H105" i="61" s="1"/>
  <c r="U104" i="61"/>
  <c r="H119" i="61"/>
  <c r="H120" i="61" s="1"/>
  <c r="U119" i="61"/>
  <c r="H114" i="61"/>
  <c r="H115" i="61" s="1"/>
  <c r="U114" i="61"/>
  <c r="N26" i="61"/>
  <c r="AD26" i="61" s="1"/>
  <c r="AD16" i="61"/>
  <c r="N36" i="61"/>
  <c r="AD36" i="61" s="1"/>
  <c r="N31" i="61"/>
  <c r="AD31" i="61" s="1"/>
  <c r="N66" i="61"/>
  <c r="AD66" i="61" s="1"/>
  <c r="N41" i="61"/>
  <c r="AD41" i="61" s="1"/>
  <c r="N86" i="61"/>
  <c r="AD86" i="61" s="1"/>
  <c r="N46" i="61"/>
  <c r="AD46" i="61" s="1"/>
  <c r="N71" i="61"/>
  <c r="AD71" i="61" s="1"/>
  <c r="N61" i="61"/>
  <c r="AD61" i="61" s="1"/>
  <c r="N51" i="61"/>
  <c r="AD51" i="61" s="1"/>
  <c r="U89" i="61"/>
  <c r="U19" i="61"/>
  <c r="U84" i="61"/>
  <c r="U24" i="61"/>
  <c r="U64" i="61"/>
  <c r="U79" i="61"/>
  <c r="U39" i="61"/>
  <c r="U74" i="61"/>
  <c r="U69" i="61"/>
  <c r="U49" i="61"/>
  <c r="U34" i="61"/>
  <c r="U29" i="61"/>
  <c r="H49" i="61"/>
  <c r="H69" i="61"/>
  <c r="H74" i="61"/>
  <c r="H24" i="61"/>
  <c r="H89" i="61"/>
  <c r="H90" i="61" s="1"/>
  <c r="H19" i="61"/>
  <c r="H84" i="61"/>
  <c r="H39" i="61"/>
  <c r="H79" i="61"/>
  <c r="H34" i="61"/>
  <c r="H29" i="61"/>
  <c r="G54" i="61"/>
  <c r="T54" i="61"/>
  <c r="T44" i="61"/>
  <c r="G44" i="61"/>
  <c r="Z136" i="61"/>
  <c r="Z132" i="61"/>
  <c r="Y44" i="70" l="1"/>
  <c r="K45" i="70"/>
  <c r="L44" i="70"/>
  <c r="Z44" i="70" s="1"/>
  <c r="Y54" i="70"/>
  <c r="K55" i="70"/>
  <c r="Y34" i="70"/>
  <c r="K35" i="70"/>
  <c r="L34" i="70"/>
  <c r="Z34" i="70" s="1"/>
  <c r="V39" i="69"/>
  <c r="I39" i="69"/>
  <c r="I24" i="70"/>
  <c r="V24" i="70"/>
  <c r="H25" i="70"/>
  <c r="I44" i="69"/>
  <c r="V44" i="69"/>
  <c r="U29" i="70"/>
  <c r="H29" i="70"/>
  <c r="G30" i="70"/>
  <c r="O26" i="70"/>
  <c r="O27" i="70"/>
  <c r="W54" i="69"/>
  <c r="J39" i="70"/>
  <c r="W39" i="70"/>
  <c r="I40" i="70"/>
  <c r="O41" i="70"/>
  <c r="O57" i="69"/>
  <c r="O21" i="70"/>
  <c r="O42" i="70"/>
  <c r="O32" i="70"/>
  <c r="O31" i="70"/>
  <c r="O22" i="70"/>
  <c r="L45" i="70"/>
  <c r="L20" i="70"/>
  <c r="L35" i="70"/>
  <c r="L50" i="70"/>
  <c r="O42" i="69"/>
  <c r="O41" i="69"/>
  <c r="O51" i="69"/>
  <c r="O52" i="69"/>
  <c r="X54" i="69"/>
  <c r="K54" i="69"/>
  <c r="G25" i="69"/>
  <c r="G50" i="69"/>
  <c r="G55" i="69"/>
  <c r="G60" i="69"/>
  <c r="G75" i="69"/>
  <c r="G30" i="69"/>
  <c r="G70" i="69"/>
  <c r="G35" i="69"/>
  <c r="G40" i="69"/>
  <c r="G20" i="69"/>
  <c r="G45" i="69"/>
  <c r="J24" i="69"/>
  <c r="W24" i="69"/>
  <c r="W64" i="69"/>
  <c r="J64" i="69"/>
  <c r="J79" i="69"/>
  <c r="W79" i="69"/>
  <c r="W74" i="69"/>
  <c r="J74" i="69"/>
  <c r="W59" i="69"/>
  <c r="J59" i="69"/>
  <c r="I69" i="69"/>
  <c r="V69" i="69"/>
  <c r="H25" i="69" s="1"/>
  <c r="J49" i="69"/>
  <c r="W49" i="69"/>
  <c r="O67" i="69"/>
  <c r="O66" i="69"/>
  <c r="W89" i="69"/>
  <c r="J19" i="69"/>
  <c r="W19" i="69"/>
  <c r="J34" i="69"/>
  <c r="W34" i="69"/>
  <c r="J29" i="69"/>
  <c r="W29" i="69"/>
  <c r="G35" i="68"/>
  <c r="F20" i="67"/>
  <c r="G45" i="68"/>
  <c r="G50" i="68"/>
  <c r="F90" i="67"/>
  <c r="G20" i="68"/>
  <c r="G40" i="68"/>
  <c r="U89" i="67"/>
  <c r="H89" i="67"/>
  <c r="G25" i="68"/>
  <c r="F45" i="67"/>
  <c r="F40" i="67" s="1"/>
  <c r="S63" i="67"/>
  <c r="S62" i="67"/>
  <c r="Q64" i="67"/>
  <c r="Q65" i="67"/>
  <c r="Q61" i="67"/>
  <c r="AC61" i="67" s="1"/>
  <c r="Q62" i="67"/>
  <c r="S65" i="67"/>
  <c r="S61" i="67"/>
  <c r="Q63" i="67"/>
  <c r="S64" i="67"/>
  <c r="S88" i="67"/>
  <c r="S89" i="67"/>
  <c r="S86" i="67"/>
  <c r="Q89" i="67"/>
  <c r="S90" i="67"/>
  <c r="Q86" i="67"/>
  <c r="AC86" i="67" s="1"/>
  <c r="Q87" i="67"/>
  <c r="Q88" i="67"/>
  <c r="Q90" i="67"/>
  <c r="S87" i="67"/>
  <c r="G30" i="68"/>
  <c r="V39" i="68"/>
  <c r="I39" i="68"/>
  <c r="W74" i="68"/>
  <c r="J74" i="68"/>
  <c r="I75" i="68"/>
  <c r="H64" i="67"/>
  <c r="U64" i="67"/>
  <c r="V24" i="68"/>
  <c r="I24" i="68"/>
  <c r="I19" i="68"/>
  <c r="V19" i="68"/>
  <c r="V29" i="68"/>
  <c r="I29" i="68"/>
  <c r="F25" i="67"/>
  <c r="V49" i="68"/>
  <c r="I49" i="68"/>
  <c r="Q87" i="68"/>
  <c r="Q88" i="68"/>
  <c r="S88" i="68"/>
  <c r="Q90" i="68"/>
  <c r="S86" i="68"/>
  <c r="S87" i="68"/>
  <c r="Q89" i="68"/>
  <c r="S90" i="68"/>
  <c r="Q86" i="68"/>
  <c r="AC86" i="68" s="1"/>
  <c r="S89" i="68"/>
  <c r="F65" i="67"/>
  <c r="F50" i="67"/>
  <c r="H64" i="68"/>
  <c r="U64" i="68"/>
  <c r="G65" i="68"/>
  <c r="J74" i="67"/>
  <c r="I75" i="67"/>
  <c r="W74" i="67"/>
  <c r="U44" i="67"/>
  <c r="H44" i="67"/>
  <c r="V44" i="68"/>
  <c r="I44" i="68"/>
  <c r="H49" i="67"/>
  <c r="U49" i="67"/>
  <c r="V19" i="67"/>
  <c r="I19" i="67"/>
  <c r="V34" i="68"/>
  <c r="I34" i="68"/>
  <c r="F30" i="67"/>
  <c r="V24" i="67"/>
  <c r="I24" i="67"/>
  <c r="S63" i="68"/>
  <c r="Q63" i="68"/>
  <c r="Q64" i="68"/>
  <c r="Q65" i="68"/>
  <c r="S65" i="68"/>
  <c r="Q62" i="68"/>
  <c r="Q61" i="68"/>
  <c r="AC61" i="68" s="1"/>
  <c r="S61" i="68"/>
  <c r="S64" i="68"/>
  <c r="S62" i="68"/>
  <c r="V29" i="67"/>
  <c r="I29" i="67"/>
  <c r="H89" i="68"/>
  <c r="U89" i="68"/>
  <c r="G90" i="68"/>
  <c r="V34" i="67"/>
  <c r="I34" i="67"/>
  <c r="F35" i="67"/>
  <c r="F100" i="61"/>
  <c r="N46" i="68"/>
  <c r="AD46" i="68" s="1"/>
  <c r="A46" i="68"/>
  <c r="N31" i="67"/>
  <c r="AD31" i="67" s="1"/>
  <c r="A26" i="67"/>
  <c r="A41" i="67"/>
  <c r="A31" i="67"/>
  <c r="A46" i="67"/>
  <c r="N21" i="67"/>
  <c r="AD21" i="67" s="1"/>
  <c r="A21" i="67"/>
  <c r="N41" i="68"/>
  <c r="AD41" i="68" s="1"/>
  <c r="Y49" i="68"/>
  <c r="A21" i="68"/>
  <c r="A16" i="68"/>
  <c r="A16" i="67"/>
  <c r="A36" i="67"/>
  <c r="A26" i="68"/>
  <c r="I64" i="61"/>
  <c r="W64" i="61" s="1"/>
  <c r="A76" i="61"/>
  <c r="S77" i="61" s="1"/>
  <c r="F25" i="61"/>
  <c r="F80" i="61"/>
  <c r="F60" i="61"/>
  <c r="F55" i="61"/>
  <c r="F45" i="61"/>
  <c r="F50" i="61"/>
  <c r="F40" i="61"/>
  <c r="F65" i="61"/>
  <c r="F85" i="61"/>
  <c r="J94" i="61"/>
  <c r="J95" i="61" s="1"/>
  <c r="I95" i="61"/>
  <c r="F70" i="61"/>
  <c r="F30" i="61"/>
  <c r="F125" i="61"/>
  <c r="F20" i="61"/>
  <c r="F75" i="61"/>
  <c r="F35" i="61"/>
  <c r="A16" i="61"/>
  <c r="S20" i="61" s="1"/>
  <c r="A71" i="61"/>
  <c r="S75" i="61" s="1"/>
  <c r="A41" i="61"/>
  <c r="S42" i="61" s="1"/>
  <c r="A51" i="61"/>
  <c r="S54" i="61" s="1"/>
  <c r="A36" i="61"/>
  <c r="S38" i="61" s="1"/>
  <c r="A26" i="61"/>
  <c r="S28" i="61" s="1"/>
  <c r="A81" i="61"/>
  <c r="S83" i="61" s="1"/>
  <c r="A56" i="61"/>
  <c r="Q60" i="61" s="1"/>
  <c r="A61" i="61"/>
  <c r="S63" i="61" s="1"/>
  <c r="A21" i="61"/>
  <c r="S24" i="61" s="1"/>
  <c r="A66" i="61"/>
  <c r="S67" i="61" s="1"/>
  <c r="A31" i="61"/>
  <c r="S32" i="61" s="1"/>
  <c r="A46" i="61"/>
  <c r="S50" i="61" s="1"/>
  <c r="Q96" i="61"/>
  <c r="AC96" i="61" s="1"/>
  <c r="Q124" i="61"/>
  <c r="N76" i="61"/>
  <c r="AD76" i="61" s="1"/>
  <c r="S120" i="61"/>
  <c r="S92" i="61"/>
  <c r="N81" i="61"/>
  <c r="AD81" i="61" s="1"/>
  <c r="S115" i="61"/>
  <c r="S88" i="61"/>
  <c r="Q102" i="61"/>
  <c r="Q106" i="61"/>
  <c r="AC106" i="61" s="1"/>
  <c r="U59" i="61"/>
  <c r="H59" i="61"/>
  <c r="W94" i="61"/>
  <c r="I124" i="61"/>
  <c r="I125" i="61" s="1"/>
  <c r="V124" i="61"/>
  <c r="V19" i="61"/>
  <c r="V114" i="61"/>
  <c r="I114" i="61"/>
  <c r="I115" i="61" s="1"/>
  <c r="V104" i="61"/>
  <c r="I104" i="61"/>
  <c r="I105" i="61" s="1"/>
  <c r="V109" i="61"/>
  <c r="I109" i="61"/>
  <c r="I110" i="61" s="1"/>
  <c r="V74" i="61"/>
  <c r="V119" i="61"/>
  <c r="I119" i="61"/>
  <c r="I120" i="61" s="1"/>
  <c r="V99" i="61"/>
  <c r="I99" i="61"/>
  <c r="I100" i="61" s="1"/>
  <c r="I19" i="61"/>
  <c r="I24" i="61"/>
  <c r="I84" i="61"/>
  <c r="V89" i="61"/>
  <c r="V69" i="61"/>
  <c r="I74" i="61"/>
  <c r="V49" i="61"/>
  <c r="I69" i="61"/>
  <c r="I49" i="61"/>
  <c r="V84" i="61"/>
  <c r="V24" i="61"/>
  <c r="I89" i="61"/>
  <c r="I90" i="61" s="1"/>
  <c r="V39" i="61"/>
  <c r="I39" i="61"/>
  <c r="V29" i="61"/>
  <c r="I29" i="61"/>
  <c r="V79" i="61"/>
  <c r="I79" i="61"/>
  <c r="V34" i="61"/>
  <c r="I34" i="61"/>
  <c r="U54" i="61"/>
  <c r="H54" i="61"/>
  <c r="U44" i="61"/>
  <c r="H44" i="61"/>
  <c r="V29" i="70" l="1"/>
  <c r="I29" i="70"/>
  <c r="H30" i="70"/>
  <c r="J44" i="69"/>
  <c r="W44" i="69"/>
  <c r="J39" i="69"/>
  <c r="W39" i="69"/>
  <c r="W24" i="70"/>
  <c r="J24" i="70"/>
  <c r="I25" i="70"/>
  <c r="X39" i="70"/>
  <c r="K39" i="70"/>
  <c r="J40" i="70"/>
  <c r="H80" i="69"/>
  <c r="H30" i="69"/>
  <c r="H75" i="69"/>
  <c r="H40" i="69"/>
  <c r="H55" i="69"/>
  <c r="Y54" i="69"/>
  <c r="L54" i="69"/>
  <c r="Z54" i="69" s="1"/>
  <c r="H60" i="69"/>
  <c r="H35" i="69"/>
  <c r="H50" i="69"/>
  <c r="H20" i="69"/>
  <c r="H65" i="69"/>
  <c r="H45" i="69"/>
  <c r="H70" i="69"/>
  <c r="X24" i="69"/>
  <c r="K24" i="69"/>
  <c r="X64" i="69"/>
  <c r="K64" i="69"/>
  <c r="X34" i="69"/>
  <c r="K34" i="69"/>
  <c r="X89" i="69"/>
  <c r="W69" i="69"/>
  <c r="I60" i="69" s="1"/>
  <c r="J69" i="69"/>
  <c r="X74" i="69"/>
  <c r="K74" i="69"/>
  <c r="X79" i="69"/>
  <c r="K79" i="69"/>
  <c r="K19" i="69"/>
  <c r="X19" i="69"/>
  <c r="K29" i="69"/>
  <c r="X29" i="69"/>
  <c r="K49" i="69"/>
  <c r="X49" i="69"/>
  <c r="X59" i="69"/>
  <c r="K59" i="69"/>
  <c r="G50" i="67"/>
  <c r="X94" i="61"/>
  <c r="H50" i="68"/>
  <c r="H25" i="68"/>
  <c r="G65" i="67"/>
  <c r="J24" i="67"/>
  <c r="W24" i="67"/>
  <c r="J34" i="67"/>
  <c r="W34" i="67"/>
  <c r="J34" i="68"/>
  <c r="W34" i="68"/>
  <c r="W19" i="67"/>
  <c r="J19" i="67"/>
  <c r="V49" i="67"/>
  <c r="I49" i="67"/>
  <c r="G45" i="67"/>
  <c r="J19" i="68"/>
  <c r="W19" i="68"/>
  <c r="J75" i="68"/>
  <c r="X74" i="68"/>
  <c r="K74" i="68"/>
  <c r="O87" i="67"/>
  <c r="O86" i="67"/>
  <c r="O62" i="67"/>
  <c r="O61" i="67"/>
  <c r="O61" i="68"/>
  <c r="O62" i="68"/>
  <c r="H90" i="68"/>
  <c r="V89" i="68"/>
  <c r="I89" i="68"/>
  <c r="H35" i="68"/>
  <c r="J44" i="68"/>
  <c r="W44" i="68"/>
  <c r="G20" i="67"/>
  <c r="G25" i="67"/>
  <c r="H65" i="68"/>
  <c r="I64" i="68"/>
  <c r="V64" i="68"/>
  <c r="O87" i="68"/>
  <c r="O86" i="68"/>
  <c r="H30" i="68"/>
  <c r="W24" i="68"/>
  <c r="J24" i="68"/>
  <c r="G30" i="67"/>
  <c r="G40" i="67"/>
  <c r="H39" i="67"/>
  <c r="I44" i="67"/>
  <c r="V44" i="67"/>
  <c r="H40" i="68"/>
  <c r="V89" i="67"/>
  <c r="H90" i="67"/>
  <c r="I89" i="67"/>
  <c r="J29" i="67"/>
  <c r="W29" i="67"/>
  <c r="H45" i="68"/>
  <c r="K74" i="67"/>
  <c r="X74" i="67"/>
  <c r="J75" i="67"/>
  <c r="W49" i="68"/>
  <c r="J29" i="68"/>
  <c r="W29" i="68"/>
  <c r="H20" i="68"/>
  <c r="I64" i="67"/>
  <c r="V64" i="67"/>
  <c r="H65" i="67"/>
  <c r="J39" i="68"/>
  <c r="W39" i="68"/>
  <c r="G90" i="67"/>
  <c r="G35" i="67"/>
  <c r="Q44" i="67"/>
  <c r="Q42" i="67"/>
  <c r="Q45" i="67"/>
  <c r="Q43" i="67"/>
  <c r="Q41" i="67"/>
  <c r="AC41" i="67" s="1"/>
  <c r="J64" i="61"/>
  <c r="X64" i="61" s="1"/>
  <c r="Q39" i="67"/>
  <c r="Q37" i="67"/>
  <c r="S40" i="67"/>
  <c r="Q38" i="67"/>
  <c r="Q36" i="67"/>
  <c r="AC36" i="67" s="1"/>
  <c r="Q40" i="67"/>
  <c r="S38" i="67"/>
  <c r="S36" i="67"/>
  <c r="S39" i="67"/>
  <c r="S37" i="67"/>
  <c r="S39" i="68"/>
  <c r="S37" i="68"/>
  <c r="Q39" i="68"/>
  <c r="Q40" i="68"/>
  <c r="Q37" i="68"/>
  <c r="S40" i="68"/>
  <c r="Q38" i="68"/>
  <c r="Q36" i="68"/>
  <c r="AC36" i="68" s="1"/>
  <c r="S36" i="68"/>
  <c r="S38" i="68"/>
  <c r="S19" i="68"/>
  <c r="S17" i="68"/>
  <c r="Q20" i="68"/>
  <c r="S18" i="68"/>
  <c r="S16" i="68"/>
  <c r="S20" i="68"/>
  <c r="Q18" i="68"/>
  <c r="Q16" i="68"/>
  <c r="AC16" i="68" s="1"/>
  <c r="Q19" i="68"/>
  <c r="Q17" i="68"/>
  <c r="S34" i="67"/>
  <c r="S32" i="67"/>
  <c r="Q35" i="67"/>
  <c r="S33" i="67"/>
  <c r="S31" i="67"/>
  <c r="S35" i="67"/>
  <c r="Q33" i="67"/>
  <c r="Q31" i="67"/>
  <c r="AC31" i="67" s="1"/>
  <c r="Q34" i="67"/>
  <c r="Q32" i="67"/>
  <c r="Q29" i="67"/>
  <c r="Q27" i="67"/>
  <c r="S30" i="67"/>
  <c r="Q28" i="67"/>
  <c r="Q26" i="67"/>
  <c r="AC26" i="67" s="1"/>
  <c r="Q30" i="67"/>
  <c r="S28" i="67"/>
  <c r="S26" i="67"/>
  <c r="S29" i="67"/>
  <c r="S27" i="67"/>
  <c r="Q49" i="68"/>
  <c r="S48" i="68"/>
  <c r="S46" i="68"/>
  <c r="Q48" i="68"/>
  <c r="Q46" i="68"/>
  <c r="AC46" i="68" s="1"/>
  <c r="Q50" i="68"/>
  <c r="S50" i="68"/>
  <c r="Q47" i="68"/>
  <c r="S49" i="68"/>
  <c r="S47" i="68"/>
  <c r="Z44" i="68"/>
  <c r="S29" i="68"/>
  <c r="S27" i="68"/>
  <c r="Q29" i="68"/>
  <c r="Q30" i="68"/>
  <c r="Q27" i="68"/>
  <c r="S30" i="68"/>
  <c r="Q28" i="68"/>
  <c r="Q26" i="68"/>
  <c r="AC26" i="68" s="1"/>
  <c r="S26" i="68"/>
  <c r="S28" i="68"/>
  <c r="S19" i="67"/>
  <c r="Q19" i="67"/>
  <c r="Q18" i="67"/>
  <c r="Q17" i="67"/>
  <c r="S20" i="67"/>
  <c r="S18" i="67"/>
  <c r="S17" i="67"/>
  <c r="Q16" i="67"/>
  <c r="AC16" i="67" s="1"/>
  <c r="S16" i="67"/>
  <c r="Q20" i="67"/>
  <c r="Q34" i="68"/>
  <c r="Q32" i="68"/>
  <c r="S35" i="68"/>
  <c r="Q33" i="68"/>
  <c r="Q31" i="68"/>
  <c r="AC31" i="68" s="1"/>
  <c r="Q35" i="68"/>
  <c r="S33" i="68"/>
  <c r="S31" i="68"/>
  <c r="S34" i="68"/>
  <c r="S32" i="68"/>
  <c r="S24" i="68"/>
  <c r="S22" i="68"/>
  <c r="Q25" i="68"/>
  <c r="S23" i="68"/>
  <c r="S21" i="68"/>
  <c r="S25" i="68"/>
  <c r="Q23" i="68"/>
  <c r="Q21" i="68"/>
  <c r="AC21" i="68" s="1"/>
  <c r="Q24" i="68"/>
  <c r="Q22" i="68"/>
  <c r="Z49" i="68"/>
  <c r="Q45" i="68"/>
  <c r="S43" i="68"/>
  <c r="S41" i="68"/>
  <c r="S44" i="68"/>
  <c r="S42" i="68"/>
  <c r="Q44" i="68"/>
  <c r="Q42" i="68"/>
  <c r="S45" i="68"/>
  <c r="Q43" i="68"/>
  <c r="Q41" i="68"/>
  <c r="AC41" i="68" s="1"/>
  <c r="Q24" i="67"/>
  <c r="Q22" i="67"/>
  <c r="S25" i="67"/>
  <c r="Q23" i="67"/>
  <c r="Q21" i="67"/>
  <c r="AC21" i="67" s="1"/>
  <c r="Q25" i="67"/>
  <c r="S23" i="67"/>
  <c r="S21" i="67"/>
  <c r="S24" i="67"/>
  <c r="S22" i="67"/>
  <c r="Q49" i="67"/>
  <c r="Q47" i="67"/>
  <c r="S50" i="67"/>
  <c r="Q48" i="67"/>
  <c r="Q46" i="67"/>
  <c r="AC46" i="67" s="1"/>
  <c r="Q50" i="67"/>
  <c r="S48" i="67"/>
  <c r="S46" i="67"/>
  <c r="S49" i="67"/>
  <c r="S47" i="67"/>
  <c r="S44" i="67"/>
  <c r="S42" i="67"/>
  <c r="S45" i="67"/>
  <c r="S43" i="67"/>
  <c r="S41" i="67"/>
  <c r="K94" i="61"/>
  <c r="K95" i="61" s="1"/>
  <c r="G40" i="61"/>
  <c r="G75" i="61"/>
  <c r="G30" i="61"/>
  <c r="G65" i="61"/>
  <c r="G80" i="61"/>
  <c r="G70" i="61"/>
  <c r="G125" i="61"/>
  <c r="G20" i="61"/>
  <c r="G50" i="61"/>
  <c r="G25" i="61"/>
  <c r="G100" i="61"/>
  <c r="G60" i="61"/>
  <c r="G55" i="61"/>
  <c r="G45" i="61"/>
  <c r="G85" i="61"/>
  <c r="G35" i="61"/>
  <c r="Q59" i="61"/>
  <c r="Q30" i="61"/>
  <c r="S40" i="61"/>
  <c r="Q40" i="61"/>
  <c r="S45" i="61"/>
  <c r="Q25" i="61"/>
  <c r="Q45" i="61"/>
  <c r="S37" i="61"/>
  <c r="S62" i="61"/>
  <c r="S110" i="61"/>
  <c r="S113" i="61"/>
  <c r="Q56" i="61"/>
  <c r="AC56" i="61" s="1"/>
  <c r="O57" i="61" s="1"/>
  <c r="Q36" i="61"/>
  <c r="AC36" i="61" s="1"/>
  <c r="O36" i="61" s="1"/>
  <c r="Q39" i="61"/>
  <c r="Q61" i="61"/>
  <c r="AC61" i="61" s="1"/>
  <c r="O62" i="61" s="1"/>
  <c r="Q55" i="61"/>
  <c r="S23" i="61"/>
  <c r="S36" i="61"/>
  <c r="S30" i="61"/>
  <c r="S65" i="61"/>
  <c r="S106" i="61"/>
  <c r="S60" i="61"/>
  <c r="Q78" i="61"/>
  <c r="Q38" i="61"/>
  <c r="Q37" i="61"/>
  <c r="Q22" i="61"/>
  <c r="Q62" i="61"/>
  <c r="Q65" i="61"/>
  <c r="Q86" i="61"/>
  <c r="AC86" i="61" s="1"/>
  <c r="O86" i="61" s="1"/>
  <c r="Q41" i="61"/>
  <c r="AC41" i="61" s="1"/>
  <c r="O41" i="61" s="1"/>
  <c r="Q44" i="61"/>
  <c r="S86" i="61"/>
  <c r="S39" i="61"/>
  <c r="S27" i="61"/>
  <c r="S76" i="61"/>
  <c r="S61" i="61"/>
  <c r="S41" i="61"/>
  <c r="S44" i="61"/>
  <c r="Q110" i="61"/>
  <c r="Q58" i="61"/>
  <c r="Q57" i="61"/>
  <c r="Q125" i="61"/>
  <c r="Q117" i="61"/>
  <c r="Q93" i="61"/>
  <c r="S97" i="61"/>
  <c r="Q71" i="61"/>
  <c r="AC71" i="61" s="1"/>
  <c r="O72" i="61" s="1"/>
  <c r="S94" i="61"/>
  <c r="Q116" i="61"/>
  <c r="AC116" i="61" s="1"/>
  <c r="O117" i="61" s="1"/>
  <c r="S122" i="61"/>
  <c r="Q47" i="61"/>
  <c r="S91" i="61"/>
  <c r="S35" i="61"/>
  <c r="S17" i="61"/>
  <c r="S70" i="61"/>
  <c r="S118" i="61"/>
  <c r="S105" i="61"/>
  <c r="Q99" i="61"/>
  <c r="S121" i="61"/>
  <c r="Q34" i="61"/>
  <c r="Q50" i="61"/>
  <c r="Q81" i="61"/>
  <c r="AC81" i="61" s="1"/>
  <c r="O82" i="61" s="1"/>
  <c r="Q91" i="61"/>
  <c r="AC91" i="61" s="1"/>
  <c r="O92" i="61" s="1"/>
  <c r="Q95" i="61"/>
  <c r="S95" i="61"/>
  <c r="S48" i="61"/>
  <c r="S73" i="61"/>
  <c r="Q118" i="61"/>
  <c r="S119" i="61"/>
  <c r="S103" i="61"/>
  <c r="S96" i="61"/>
  <c r="Q100" i="61"/>
  <c r="S100" i="61"/>
  <c r="S124" i="61"/>
  <c r="S123" i="61"/>
  <c r="Q77" i="61"/>
  <c r="Q21" i="61"/>
  <c r="AC21" i="61" s="1"/>
  <c r="O22" i="61" s="1"/>
  <c r="Q26" i="61"/>
  <c r="AC26" i="61" s="1"/>
  <c r="O26" i="61" s="1"/>
  <c r="Q29" i="61"/>
  <c r="Q54" i="61"/>
  <c r="Q92" i="61"/>
  <c r="Q94" i="61"/>
  <c r="S22" i="61"/>
  <c r="S93" i="61"/>
  <c r="S87" i="61"/>
  <c r="S26" i="61"/>
  <c r="S52" i="61"/>
  <c r="S107" i="61"/>
  <c r="Q109" i="61"/>
  <c r="S116" i="61"/>
  <c r="S117" i="61"/>
  <c r="Q120" i="61"/>
  <c r="Q119" i="61"/>
  <c r="Q97" i="61"/>
  <c r="Q98" i="61"/>
  <c r="S98" i="61"/>
  <c r="S99" i="61"/>
  <c r="Q114" i="61"/>
  <c r="Q121" i="61"/>
  <c r="AC121" i="61" s="1"/>
  <c r="O122" i="61" s="1"/>
  <c r="Q123" i="61"/>
  <c r="S125" i="61"/>
  <c r="Q122" i="61"/>
  <c r="Q111" i="61"/>
  <c r="AC111" i="61" s="1"/>
  <c r="Q72" i="61"/>
  <c r="Q75" i="61"/>
  <c r="Q66" i="61"/>
  <c r="AC66" i="61" s="1"/>
  <c r="O66" i="61" s="1"/>
  <c r="Q33" i="61"/>
  <c r="Q64" i="61"/>
  <c r="Q63" i="61"/>
  <c r="Q46" i="61"/>
  <c r="AC46" i="61" s="1"/>
  <c r="O46" i="61" s="1"/>
  <c r="Q85" i="61"/>
  <c r="Q43" i="61"/>
  <c r="Q42" i="61"/>
  <c r="S49" i="61"/>
  <c r="S31" i="61"/>
  <c r="S34" i="61"/>
  <c r="S18" i="61"/>
  <c r="S64" i="61"/>
  <c r="S66" i="61"/>
  <c r="S74" i="61"/>
  <c r="S82" i="61"/>
  <c r="S43" i="61"/>
  <c r="S102" i="61"/>
  <c r="Q105" i="61"/>
  <c r="S101" i="61"/>
  <c r="S57" i="61"/>
  <c r="S59" i="61"/>
  <c r="S56" i="61"/>
  <c r="S58" i="61"/>
  <c r="Q18" i="61"/>
  <c r="Q70" i="61"/>
  <c r="Q90" i="61"/>
  <c r="Q84" i="61"/>
  <c r="S90" i="61"/>
  <c r="S80" i="61"/>
  <c r="Q16" i="61"/>
  <c r="AC16" i="61" s="1"/>
  <c r="O16" i="61" s="1"/>
  <c r="S69" i="61"/>
  <c r="S81" i="61"/>
  <c r="S112" i="61"/>
  <c r="Q17" i="61"/>
  <c r="Q69" i="61"/>
  <c r="Q89" i="61"/>
  <c r="Q51" i="61"/>
  <c r="AC51" i="61" s="1"/>
  <c r="O51" i="61" s="1"/>
  <c r="S53" i="61"/>
  <c r="S79" i="61"/>
  <c r="S85" i="61"/>
  <c r="S114" i="61"/>
  <c r="C13" i="65"/>
  <c r="C12" i="65"/>
  <c r="C15" i="65"/>
  <c r="C7" i="65"/>
  <c r="C9" i="65"/>
  <c r="C11" i="65"/>
  <c r="C18" i="65"/>
  <c r="C17" i="65"/>
  <c r="C22" i="65"/>
  <c r="C1" i="65"/>
  <c r="C8" i="65"/>
  <c r="C2" i="65"/>
  <c r="C6" i="65"/>
  <c r="C3" i="65"/>
  <c r="C16" i="65"/>
  <c r="Q20" i="61"/>
  <c r="Q19" i="61"/>
  <c r="Q74" i="61"/>
  <c r="Q73" i="61"/>
  <c r="Q68" i="61"/>
  <c r="Q67" i="61"/>
  <c r="Q32" i="61"/>
  <c r="Q31" i="61"/>
  <c r="AC31" i="61" s="1"/>
  <c r="O31" i="61" s="1"/>
  <c r="Q35" i="61"/>
  <c r="Q49" i="61"/>
  <c r="Q48" i="61"/>
  <c r="Q83" i="61"/>
  <c r="Q82" i="61"/>
  <c r="S47" i="61"/>
  <c r="S46" i="61"/>
  <c r="S33" i="61"/>
  <c r="S19" i="61"/>
  <c r="S16" i="61"/>
  <c r="S68" i="61"/>
  <c r="S72" i="61"/>
  <c r="S71" i="61"/>
  <c r="S84" i="61"/>
  <c r="Q103" i="61"/>
  <c r="Q104" i="61"/>
  <c r="S104" i="61"/>
  <c r="Q101" i="61"/>
  <c r="AC101" i="61" s="1"/>
  <c r="O101" i="61" s="1"/>
  <c r="Q76" i="61"/>
  <c r="AC76" i="61" s="1"/>
  <c r="O76" i="61" s="1"/>
  <c r="Q80" i="61"/>
  <c r="Q79" i="61"/>
  <c r="Q24" i="61"/>
  <c r="Q23" i="61"/>
  <c r="Q28" i="61"/>
  <c r="Q27" i="61"/>
  <c r="Q88" i="61"/>
  <c r="Q87" i="61"/>
  <c r="Q53" i="61"/>
  <c r="Q52" i="61"/>
  <c r="S21" i="61"/>
  <c r="S25" i="61"/>
  <c r="S89" i="61"/>
  <c r="S29" i="61"/>
  <c r="S51" i="61"/>
  <c r="S55" i="61"/>
  <c r="S78" i="61"/>
  <c r="Q107" i="61"/>
  <c r="Q108" i="61"/>
  <c r="S108" i="61"/>
  <c r="S109" i="61"/>
  <c r="Q115" i="61"/>
  <c r="S111" i="61"/>
  <c r="Q113" i="61"/>
  <c r="Q112" i="61"/>
  <c r="I59" i="61"/>
  <c r="V59" i="61"/>
  <c r="W124" i="61"/>
  <c r="J124" i="61"/>
  <c r="J125" i="61" s="1"/>
  <c r="C20" i="65"/>
  <c r="W24" i="61"/>
  <c r="J74" i="61"/>
  <c r="J84" i="61"/>
  <c r="W19" i="61"/>
  <c r="J119" i="61"/>
  <c r="J120" i="61" s="1"/>
  <c r="W119" i="61"/>
  <c r="J109" i="61"/>
  <c r="J110" i="61" s="1"/>
  <c r="W109" i="61"/>
  <c r="J114" i="61"/>
  <c r="J115" i="61" s="1"/>
  <c r="W114" i="61"/>
  <c r="J69" i="61"/>
  <c r="J24" i="61"/>
  <c r="J99" i="61"/>
  <c r="J100" i="61" s="1"/>
  <c r="W99" i="61"/>
  <c r="J104" i="61"/>
  <c r="J105" i="61" s="1"/>
  <c r="W104" i="61"/>
  <c r="O96" i="61"/>
  <c r="O97" i="61"/>
  <c r="O106" i="61"/>
  <c r="O107" i="61"/>
  <c r="J19" i="61"/>
  <c r="W84" i="61"/>
  <c r="W49" i="61"/>
  <c r="W69" i="61"/>
  <c r="W74" i="61"/>
  <c r="J89" i="61"/>
  <c r="J90" i="61" s="1"/>
  <c r="W89" i="61"/>
  <c r="J49" i="61"/>
  <c r="W39" i="61"/>
  <c r="J39" i="61"/>
  <c r="W34" i="61"/>
  <c r="J34" i="61"/>
  <c r="J79" i="61"/>
  <c r="W79" i="61"/>
  <c r="W29" i="61"/>
  <c r="J29" i="61"/>
  <c r="I54" i="61"/>
  <c r="V54" i="61"/>
  <c r="V44" i="61"/>
  <c r="I44" i="61"/>
  <c r="X24" i="70" l="1"/>
  <c r="K24" i="70"/>
  <c r="J25" i="70"/>
  <c r="X39" i="69"/>
  <c r="K39" i="69"/>
  <c r="W29" i="70"/>
  <c r="J29" i="70"/>
  <c r="I30" i="70"/>
  <c r="K44" i="69"/>
  <c r="X44" i="69"/>
  <c r="Y39" i="70"/>
  <c r="K40" i="70"/>
  <c r="L39" i="70"/>
  <c r="I65" i="69"/>
  <c r="I20" i="69"/>
  <c r="I35" i="69"/>
  <c r="I25" i="69"/>
  <c r="I40" i="69"/>
  <c r="I70" i="69"/>
  <c r="I75" i="69"/>
  <c r="I80" i="69"/>
  <c r="I45" i="69"/>
  <c r="I50" i="69"/>
  <c r="I55" i="69"/>
  <c r="I30" i="69"/>
  <c r="Y24" i="69"/>
  <c r="L24" i="69"/>
  <c r="Y64" i="69"/>
  <c r="L64" i="69"/>
  <c r="Z64" i="69" s="1"/>
  <c r="L59" i="69"/>
  <c r="Y59" i="69"/>
  <c r="L49" i="69"/>
  <c r="Y49" i="69"/>
  <c r="L29" i="69"/>
  <c r="Y29" i="69"/>
  <c r="L19" i="69"/>
  <c r="Y19" i="69"/>
  <c r="Y89" i="69"/>
  <c r="Y79" i="69"/>
  <c r="Y74" i="69"/>
  <c r="L74" i="69"/>
  <c r="Y34" i="69"/>
  <c r="L34" i="69"/>
  <c r="X69" i="69"/>
  <c r="J20" i="69" s="1"/>
  <c r="K69" i="69"/>
  <c r="I30" i="68"/>
  <c r="I25" i="68"/>
  <c r="I35" i="68"/>
  <c r="V39" i="67"/>
  <c r="H40" i="67" s="1"/>
  <c r="J49" i="67"/>
  <c r="W49" i="67"/>
  <c r="I40" i="68"/>
  <c r="J64" i="68"/>
  <c r="I65" i="68"/>
  <c r="W64" i="68"/>
  <c r="I45" i="68"/>
  <c r="I20" i="68"/>
  <c r="O42" i="67"/>
  <c r="W64" i="67"/>
  <c r="J64" i="67"/>
  <c r="I65" i="67"/>
  <c r="X29" i="68"/>
  <c r="K29" i="68"/>
  <c r="I50" i="68"/>
  <c r="L74" i="67"/>
  <c r="K75" i="67"/>
  <c r="Y74" i="67"/>
  <c r="X29" i="67"/>
  <c r="K29" i="67"/>
  <c r="L74" i="68"/>
  <c r="K75" i="68"/>
  <c r="Y74" i="68"/>
  <c r="X34" i="67"/>
  <c r="K34" i="67"/>
  <c r="X24" i="67"/>
  <c r="K24" i="67"/>
  <c r="X39" i="68"/>
  <c r="K39" i="68"/>
  <c r="I90" i="67"/>
  <c r="J89" i="67"/>
  <c r="W89" i="67"/>
  <c r="I39" i="67"/>
  <c r="W39" i="67" s="1"/>
  <c r="J44" i="67"/>
  <c r="W44" i="67"/>
  <c r="X24" i="68"/>
  <c r="K24" i="68"/>
  <c r="X44" i="68"/>
  <c r="K44" i="68"/>
  <c r="J89" i="68"/>
  <c r="I90" i="68"/>
  <c r="W89" i="68"/>
  <c r="X19" i="68"/>
  <c r="K19" i="68"/>
  <c r="X19" i="67"/>
  <c r="K19" i="67"/>
  <c r="K34" i="68"/>
  <c r="X34" i="68"/>
  <c r="L94" i="61"/>
  <c r="L95" i="61" s="1"/>
  <c r="K64" i="61"/>
  <c r="L64" i="61" s="1"/>
  <c r="O42" i="68"/>
  <c r="O22" i="68"/>
  <c r="O21" i="68"/>
  <c r="O16" i="67"/>
  <c r="O17" i="67"/>
  <c r="O26" i="68"/>
  <c r="O27" i="68"/>
  <c r="O32" i="67"/>
  <c r="O31" i="67"/>
  <c r="O37" i="67"/>
  <c r="O36" i="67"/>
  <c r="O47" i="67"/>
  <c r="O22" i="67"/>
  <c r="O21" i="67"/>
  <c r="O32" i="68"/>
  <c r="O31" i="68"/>
  <c r="O47" i="68"/>
  <c r="O27" i="67"/>
  <c r="O26" i="67"/>
  <c r="O16" i="68"/>
  <c r="O17" i="68"/>
  <c r="O37" i="68"/>
  <c r="Y94" i="61"/>
  <c r="H60" i="61"/>
  <c r="H80" i="61"/>
  <c r="H75" i="61"/>
  <c r="H55" i="61"/>
  <c r="H30" i="61"/>
  <c r="H35" i="61"/>
  <c r="H50" i="61"/>
  <c r="H20" i="61"/>
  <c r="H25" i="61"/>
  <c r="H40" i="61"/>
  <c r="H45" i="61"/>
  <c r="H65" i="61"/>
  <c r="H70" i="61"/>
  <c r="H85" i="61"/>
  <c r="O42" i="61"/>
  <c r="O61" i="61"/>
  <c r="O37" i="61"/>
  <c r="O87" i="61"/>
  <c r="O121" i="61"/>
  <c r="C14" i="65"/>
  <c r="O56" i="61"/>
  <c r="O81" i="61"/>
  <c r="O27" i="61"/>
  <c r="O77" i="61"/>
  <c r="C21" i="65"/>
  <c r="C4" i="65"/>
  <c r="O91" i="61"/>
  <c r="C5" i="65"/>
  <c r="O116" i="61"/>
  <c r="O71" i="61"/>
  <c r="O67" i="61"/>
  <c r="O47" i="61"/>
  <c r="O21" i="61"/>
  <c r="O17" i="61"/>
  <c r="O111" i="61"/>
  <c r="O112" i="61"/>
  <c r="O32" i="61"/>
  <c r="C10" i="65"/>
  <c r="C19" i="65"/>
  <c r="O52" i="61"/>
  <c r="O102" i="61"/>
  <c r="W59" i="61"/>
  <c r="J59" i="61"/>
  <c r="X124" i="61"/>
  <c r="K124" i="61"/>
  <c r="K125" i="61" s="1"/>
  <c r="X24" i="61"/>
  <c r="X74" i="61"/>
  <c r="K69" i="61"/>
  <c r="K84" i="61"/>
  <c r="X69" i="61"/>
  <c r="K74" i="61"/>
  <c r="K24" i="61"/>
  <c r="X84" i="61"/>
  <c r="K89" i="61"/>
  <c r="X19" i="61"/>
  <c r="K104" i="61"/>
  <c r="K105" i="61" s="1"/>
  <c r="X104" i="61"/>
  <c r="K114" i="61"/>
  <c r="K115" i="61" s="1"/>
  <c r="X114" i="61"/>
  <c r="K119" i="61"/>
  <c r="K120" i="61" s="1"/>
  <c r="X119" i="61"/>
  <c r="K99" i="61"/>
  <c r="K100" i="61" s="1"/>
  <c r="X99" i="61"/>
  <c r="K109" i="61"/>
  <c r="K110" i="61" s="1"/>
  <c r="X109" i="61"/>
  <c r="K19" i="61"/>
  <c r="X89" i="61"/>
  <c r="K49" i="61"/>
  <c r="X49" i="61"/>
  <c r="K39" i="61"/>
  <c r="X39" i="61"/>
  <c r="X79" i="61"/>
  <c r="K79" i="61"/>
  <c r="K29" i="61"/>
  <c r="X29" i="61"/>
  <c r="K34" i="61"/>
  <c r="X34" i="61"/>
  <c r="J54" i="61"/>
  <c r="W54" i="61"/>
  <c r="J44" i="61"/>
  <c r="W44" i="61"/>
  <c r="Y44" i="69" l="1"/>
  <c r="L44" i="69"/>
  <c r="Z44" i="69" s="1"/>
  <c r="Y39" i="69"/>
  <c r="L39" i="69"/>
  <c r="Z39" i="69" s="1"/>
  <c r="Y24" i="70"/>
  <c r="K25" i="70"/>
  <c r="L24" i="70"/>
  <c r="X29" i="70"/>
  <c r="K29" i="70"/>
  <c r="J30" i="70"/>
  <c r="Z39" i="70"/>
  <c r="L40" i="70"/>
  <c r="J25" i="69"/>
  <c r="J50" i="69"/>
  <c r="J45" i="69"/>
  <c r="J80" i="69"/>
  <c r="J60" i="69"/>
  <c r="J70" i="69"/>
  <c r="J35" i="69"/>
  <c r="J40" i="69"/>
  <c r="J30" i="69"/>
  <c r="J65" i="69"/>
  <c r="J55" i="69"/>
  <c r="J75" i="69"/>
  <c r="Z24" i="69"/>
  <c r="Z74" i="69"/>
  <c r="Z59" i="69"/>
  <c r="Z79" i="69"/>
  <c r="Z19" i="69"/>
  <c r="Z89" i="69"/>
  <c r="Z29" i="69"/>
  <c r="Y69" i="69"/>
  <c r="K20" i="69" s="1"/>
  <c r="L69" i="69"/>
  <c r="Z34" i="69"/>
  <c r="Z49" i="69"/>
  <c r="Z94" i="61"/>
  <c r="J45" i="68"/>
  <c r="I50" i="67"/>
  <c r="J25" i="68"/>
  <c r="I50" i="61"/>
  <c r="J20" i="68"/>
  <c r="J30" i="68"/>
  <c r="L19" i="68"/>
  <c r="Y19" i="68"/>
  <c r="Y44" i="68"/>
  <c r="I25" i="67"/>
  <c r="I30" i="67"/>
  <c r="J40" i="68"/>
  <c r="Y24" i="67"/>
  <c r="L24" i="67"/>
  <c r="J65" i="67"/>
  <c r="X64" i="67"/>
  <c r="K64" i="67"/>
  <c r="Y24" i="68"/>
  <c r="L24" i="68"/>
  <c r="J39" i="67"/>
  <c r="X44" i="67"/>
  <c r="K44" i="67"/>
  <c r="L34" i="67"/>
  <c r="Y34" i="67"/>
  <c r="J35" i="68"/>
  <c r="I45" i="67"/>
  <c r="I40" i="67" s="1"/>
  <c r="L39" i="68"/>
  <c r="Y39" i="68"/>
  <c r="Y29" i="68"/>
  <c r="L29" i="68"/>
  <c r="K64" i="68"/>
  <c r="J65" i="68"/>
  <c r="X64" i="68"/>
  <c r="X49" i="67"/>
  <c r="K49" i="67"/>
  <c r="H30" i="67"/>
  <c r="H35" i="67"/>
  <c r="H25" i="67"/>
  <c r="H20" i="67"/>
  <c r="H50" i="67"/>
  <c r="H45" i="67"/>
  <c r="Y19" i="67"/>
  <c r="L19" i="67"/>
  <c r="Y34" i="68"/>
  <c r="L34" i="68"/>
  <c r="X89" i="68"/>
  <c r="J90" i="68"/>
  <c r="K89" i="68"/>
  <c r="K89" i="67"/>
  <c r="J90" i="67"/>
  <c r="X89" i="67"/>
  <c r="Z74" i="68"/>
  <c r="L75" i="68"/>
  <c r="Y29" i="67"/>
  <c r="L29" i="67"/>
  <c r="Z74" i="67"/>
  <c r="L75" i="67"/>
  <c r="I35" i="67"/>
  <c r="I20" i="67"/>
  <c r="Y64" i="61"/>
  <c r="I70" i="61"/>
  <c r="I35" i="61"/>
  <c r="I25" i="61"/>
  <c r="I45" i="61"/>
  <c r="I55" i="61"/>
  <c r="I20" i="61"/>
  <c r="I40" i="61"/>
  <c r="I75" i="61"/>
  <c r="I85" i="61"/>
  <c r="I30" i="61"/>
  <c r="I60" i="61"/>
  <c r="I65" i="61"/>
  <c r="I80" i="61"/>
  <c r="Y84" i="61"/>
  <c r="Z64" i="61"/>
  <c r="L89" i="61"/>
  <c r="L90" i="61" s="1"/>
  <c r="K90" i="61"/>
  <c r="L69" i="61"/>
  <c r="Z69" i="61" s="1"/>
  <c r="C23" i="65"/>
  <c r="Y89" i="61"/>
  <c r="K59" i="61"/>
  <c r="X59" i="61"/>
  <c r="Y124" i="61"/>
  <c r="L124" i="61"/>
  <c r="Y74" i="61"/>
  <c r="L24" i="61"/>
  <c r="Y69" i="61"/>
  <c r="L84" i="61"/>
  <c r="L74" i="61"/>
  <c r="Y24" i="61"/>
  <c r="L19" i="61"/>
  <c r="L109" i="61"/>
  <c r="L110" i="61" s="1"/>
  <c r="Y109" i="61"/>
  <c r="L119" i="61"/>
  <c r="L120" i="61" s="1"/>
  <c r="Y119" i="61"/>
  <c r="L104" i="61"/>
  <c r="L105" i="61" s="1"/>
  <c r="Y104" i="61"/>
  <c r="Y49" i="61"/>
  <c r="L99" i="61"/>
  <c r="L100" i="61" s="1"/>
  <c r="Y99" i="61"/>
  <c r="L114" i="61"/>
  <c r="L115" i="61" s="1"/>
  <c r="Y114" i="61"/>
  <c r="Y19" i="61"/>
  <c r="L49" i="61"/>
  <c r="L39" i="61"/>
  <c r="Y39" i="61"/>
  <c r="Y34" i="61"/>
  <c r="L34" i="61"/>
  <c r="L29" i="61"/>
  <c r="Y29" i="61"/>
  <c r="L79" i="61"/>
  <c r="Y79" i="61"/>
  <c r="K54" i="61"/>
  <c r="X54" i="61"/>
  <c r="X44" i="61"/>
  <c r="K44" i="61"/>
  <c r="Y29" i="70" l="1"/>
  <c r="K30" i="70"/>
  <c r="L29" i="70"/>
  <c r="Z24" i="70"/>
  <c r="L25" i="70"/>
  <c r="K25" i="69"/>
  <c r="K55" i="69"/>
  <c r="K40" i="69"/>
  <c r="K50" i="69"/>
  <c r="K30" i="69"/>
  <c r="K75" i="69"/>
  <c r="K45" i="69"/>
  <c r="K35" i="69"/>
  <c r="K80" i="69"/>
  <c r="K60" i="69"/>
  <c r="K70" i="69"/>
  <c r="K65" i="69"/>
  <c r="Z69" i="69"/>
  <c r="L75" i="69" s="1"/>
  <c r="K35" i="68"/>
  <c r="K25" i="68"/>
  <c r="K20" i="68"/>
  <c r="Z24" i="68"/>
  <c r="K45" i="68"/>
  <c r="L89" i="68"/>
  <c r="Y89" i="68"/>
  <c r="K90" i="68"/>
  <c r="Z34" i="68"/>
  <c r="Z29" i="67"/>
  <c r="Y89" i="67"/>
  <c r="L89" i="67"/>
  <c r="K90" i="67"/>
  <c r="Z39" i="68"/>
  <c r="Y64" i="67"/>
  <c r="L64" i="67"/>
  <c r="K65" i="67"/>
  <c r="Z19" i="68"/>
  <c r="Y49" i="67"/>
  <c r="L49" i="67"/>
  <c r="L64" i="68"/>
  <c r="K65" i="68"/>
  <c r="Y64" i="68"/>
  <c r="K30" i="68"/>
  <c r="K40" i="68"/>
  <c r="Z34" i="67"/>
  <c r="X39" i="67"/>
  <c r="J40" i="67" s="1"/>
  <c r="K39" i="67"/>
  <c r="Z19" i="67"/>
  <c r="Z29" i="68"/>
  <c r="Y44" i="67"/>
  <c r="L44" i="67"/>
  <c r="Z24" i="67"/>
  <c r="Z89" i="61"/>
  <c r="J25" i="61"/>
  <c r="J50" i="61"/>
  <c r="J80" i="61"/>
  <c r="J30" i="61"/>
  <c r="J60" i="61"/>
  <c r="J55" i="61"/>
  <c r="J20" i="61"/>
  <c r="J35" i="61"/>
  <c r="J75" i="61"/>
  <c r="J70" i="61"/>
  <c r="J85" i="61"/>
  <c r="J40" i="61"/>
  <c r="J65" i="61"/>
  <c r="J45" i="61"/>
  <c r="Z24" i="61"/>
  <c r="Z124" i="61"/>
  <c r="L125" i="61"/>
  <c r="Z74" i="61"/>
  <c r="Y59" i="61"/>
  <c r="L59" i="61"/>
  <c r="Z19" i="61"/>
  <c r="Z84" i="61"/>
  <c r="Z49" i="61"/>
  <c r="Z114" i="61"/>
  <c r="Z104" i="61"/>
  <c r="Z109" i="61"/>
  <c r="Z99" i="61"/>
  <c r="Z119" i="61"/>
  <c r="Z34" i="61"/>
  <c r="Z79" i="61"/>
  <c r="Z29" i="61"/>
  <c r="Z39" i="61"/>
  <c r="Y54" i="61"/>
  <c r="L54" i="61"/>
  <c r="L44" i="61"/>
  <c r="Y44" i="61"/>
  <c r="Z29" i="70" l="1"/>
  <c r="L30" i="70"/>
  <c r="L30" i="69"/>
  <c r="L50" i="69"/>
  <c r="L55" i="69"/>
  <c r="L20" i="69"/>
  <c r="L45" i="69"/>
  <c r="L70" i="69"/>
  <c r="L25" i="69"/>
  <c r="L40" i="69"/>
  <c r="L35" i="69"/>
  <c r="L65" i="69"/>
  <c r="L60" i="69"/>
  <c r="L20" i="68"/>
  <c r="L35" i="68"/>
  <c r="L30" i="68"/>
  <c r="Z64" i="68"/>
  <c r="L65" i="68"/>
  <c r="Z44" i="67"/>
  <c r="L39" i="67"/>
  <c r="Y39" i="67"/>
  <c r="K40" i="67" s="1"/>
  <c r="L40" i="68"/>
  <c r="L25" i="68"/>
  <c r="L90" i="67"/>
  <c r="Z89" i="67"/>
  <c r="Z49" i="67"/>
  <c r="J20" i="67"/>
  <c r="J45" i="67"/>
  <c r="J30" i="67"/>
  <c r="J35" i="67"/>
  <c r="J25" i="67"/>
  <c r="J50" i="67"/>
  <c r="L65" i="67"/>
  <c r="Z64" i="67"/>
  <c r="L90" i="68"/>
  <c r="Z89" i="68"/>
  <c r="K50" i="61"/>
  <c r="K20" i="61"/>
  <c r="K80" i="61"/>
  <c r="K85" i="61"/>
  <c r="K30" i="61"/>
  <c r="K60" i="61"/>
  <c r="K70" i="61"/>
  <c r="K40" i="61"/>
  <c r="K55" i="61"/>
  <c r="K65" i="61"/>
  <c r="K75" i="61"/>
  <c r="K35" i="61"/>
  <c r="K25" i="61"/>
  <c r="K45" i="61"/>
  <c r="Z59" i="61"/>
  <c r="Z54" i="61"/>
  <c r="Z44" i="61"/>
  <c r="K35" i="67" l="1"/>
  <c r="K20" i="67"/>
  <c r="K30" i="67"/>
  <c r="K25" i="67"/>
  <c r="K45" i="67"/>
  <c r="K50" i="67"/>
  <c r="Z39" i="67"/>
  <c r="L40" i="67" s="1"/>
  <c r="L45" i="61"/>
  <c r="L65" i="61"/>
  <c r="L50" i="61"/>
  <c r="L30" i="61"/>
  <c r="L35" i="61"/>
  <c r="L80" i="61"/>
  <c r="L20" i="61"/>
  <c r="L25" i="61"/>
  <c r="L75" i="61"/>
  <c r="L70" i="61"/>
  <c r="L85" i="61"/>
  <c r="L60" i="61"/>
  <c r="L40" i="61"/>
  <c r="L55" i="61"/>
  <c r="L25" i="67" l="1"/>
  <c r="L35" i="67"/>
  <c r="L30" i="67"/>
  <c r="L45" i="67"/>
  <c r="L50" i="67"/>
  <c r="L20" i="67"/>
</calcChain>
</file>

<file path=xl/sharedStrings.xml><?xml version="1.0" encoding="utf-8"?>
<sst xmlns="http://schemas.openxmlformats.org/spreadsheetml/2006/main" count="1317" uniqueCount="243">
  <si>
    <t>Разряд</t>
  </si>
  <si>
    <t>ФО</t>
  </si>
  <si>
    <t>Тренеры</t>
  </si>
  <si>
    <t>Ведомство</t>
  </si>
  <si>
    <t xml:space="preserve">Фамилия, имя участника                         </t>
  </si>
  <si>
    <t>Дата рожд.</t>
  </si>
  <si>
    <t>№ участ</t>
  </si>
  <si>
    <t>Лично</t>
  </si>
  <si>
    <t>Команда</t>
  </si>
  <si>
    <t>Организация</t>
  </si>
  <si>
    <t>ВСЕРОССИЙСКАЯ ФЕДЕРАЦИЯ ЛЕГКОЙ АТЛЕТИКИ</t>
  </si>
  <si>
    <t>ИТОГОВЫЙ ПРОТОКОЛ</t>
  </si>
  <si>
    <t>СТАРТОВЫЙ ПРОТОКОЛ</t>
  </si>
  <si>
    <t>РМ</t>
  </si>
  <si>
    <t>РЕ</t>
  </si>
  <si>
    <t>РР</t>
  </si>
  <si>
    <t>Высота</t>
  </si>
  <si>
    <t>Копье</t>
  </si>
  <si>
    <t>Результат</t>
  </si>
  <si>
    <t>№</t>
  </si>
  <si>
    <t>Забег 1</t>
  </si>
  <si>
    <t>Забег 4</t>
  </si>
  <si>
    <t>Скрыть</t>
  </si>
  <si>
    <t>при</t>
  </si>
  <si>
    <t>печати</t>
  </si>
  <si>
    <t>Ветер</t>
  </si>
  <si>
    <t>Длина</t>
  </si>
  <si>
    <t>Ядро</t>
  </si>
  <si>
    <t>Рез</t>
  </si>
  <si>
    <t>Очки</t>
  </si>
  <si>
    <t>Время</t>
  </si>
  <si>
    <t>р1</t>
  </si>
  <si>
    <t>р2</t>
  </si>
  <si>
    <t>р3</t>
  </si>
  <si>
    <t>в1</t>
  </si>
  <si>
    <t>в2</t>
  </si>
  <si>
    <t>в3</t>
  </si>
  <si>
    <t>Мес</t>
  </si>
  <si>
    <t>Группа А</t>
  </si>
  <si>
    <t>Многоборья</t>
  </si>
  <si>
    <t>Опыт описания работы с таблицами по многоборьям</t>
  </si>
  <si>
    <t>Участники</t>
  </si>
  <si>
    <t>Участники должны быть расположены в порядке возрастания нагрудных номеров</t>
  </si>
  <si>
    <t>Для упрощения ввода информации разделительные точки и запятые не ставятся.</t>
  </si>
  <si>
    <t>При распечатке стартового протокола скрыть строку ИТОГОВЫЙ ПРОТОКОЛ</t>
  </si>
  <si>
    <t>При распечатке стартового или итогового протокола скрыть столбцы ввода данных (минус на поле вверху)</t>
  </si>
  <si>
    <t>Данные вводятся в столбцы выделенные желтым</t>
  </si>
  <si>
    <t>Открытие этих столбцов (плюс на поле вверху)</t>
  </si>
  <si>
    <t>В прыжках и метаниях убрать лишние строки</t>
  </si>
  <si>
    <t>Расписание</t>
  </si>
  <si>
    <t>Введите название проводящих организаций, даты, расписание по видам</t>
  </si>
  <si>
    <r>
      <t xml:space="preserve">В </t>
    </r>
    <r>
      <rPr>
        <b/>
        <sz val="12"/>
        <rFont val="Arial Unicode MS"/>
        <family val="2"/>
        <charset val="204"/>
      </rPr>
      <t>виде</t>
    </r>
    <r>
      <rPr>
        <sz val="12"/>
        <rFont val="Arial Unicode MS"/>
        <family val="2"/>
        <charset val="204"/>
      </rPr>
      <t xml:space="preserve"> итоговый протокол сортировать </t>
    </r>
    <r>
      <rPr>
        <b/>
        <sz val="12"/>
        <rFont val="Arial Unicode MS"/>
        <family val="2"/>
        <charset val="204"/>
      </rPr>
      <t>по месту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отдельно</t>
    </r>
    <r>
      <rPr>
        <sz val="12"/>
        <rFont val="Arial Unicode MS"/>
        <family val="2"/>
        <charset val="204"/>
      </rPr>
      <t xml:space="preserve"> внутри </t>
    </r>
    <r>
      <rPr>
        <b/>
        <sz val="12"/>
        <rFont val="Arial Unicode MS"/>
        <family val="2"/>
        <charset val="204"/>
      </rPr>
      <t>каждого</t>
    </r>
    <r>
      <rPr>
        <sz val="12"/>
        <rFont val="Arial Unicode MS"/>
        <family val="2"/>
        <charset val="204"/>
      </rPr>
      <t xml:space="preserve"> забега и группы</t>
    </r>
  </si>
  <si>
    <r>
      <t>Если сортировка</t>
    </r>
    <r>
      <rPr>
        <b/>
        <sz val="12"/>
        <rFont val="Arial Unicode MS"/>
        <family val="2"/>
        <charset val="204"/>
      </rPr>
      <t xml:space="preserve"> в бегах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при одинаковых очках</t>
    </r>
    <r>
      <rPr>
        <sz val="12"/>
        <rFont val="Arial Unicode MS"/>
        <family val="2"/>
        <charset val="204"/>
      </rPr>
      <t xml:space="preserve"> неправильно расставляет по времени -</t>
    </r>
    <r>
      <rPr>
        <b/>
        <sz val="12"/>
        <rFont val="Arial Unicode MS"/>
        <family val="2"/>
        <charset val="204"/>
      </rPr>
      <t xml:space="preserve"> расставляйте места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вручную</t>
    </r>
  </si>
  <si>
    <t>Сводный</t>
  </si>
  <si>
    <t>Сводный пока не работает</t>
  </si>
  <si>
    <r>
      <t>Поменяйте</t>
    </r>
    <r>
      <rPr>
        <sz val="12"/>
        <rFont val="Arial Unicode MS"/>
        <family val="2"/>
        <charset val="204"/>
      </rPr>
      <t xml:space="preserve"> в Высоте и Шесте </t>
    </r>
    <r>
      <rPr>
        <b/>
        <sz val="12"/>
        <rFont val="Arial Unicode MS"/>
        <family val="2"/>
        <charset val="204"/>
      </rPr>
      <t>высоты</t>
    </r>
    <r>
      <rPr>
        <sz val="12"/>
        <rFont val="Arial Unicode MS"/>
        <family val="2"/>
        <charset val="204"/>
      </rPr>
      <t xml:space="preserve"> согласно регламента</t>
    </r>
  </si>
  <si>
    <t>При распечатке стартового протокола изменяемые данные на белом фоне дайте белым цветом шрифта</t>
  </si>
  <si>
    <t>При распечатке итогового протокола скрыть строку СТАРТОВЫЙ ПРОТОКОЛ</t>
  </si>
  <si>
    <t>Виды</t>
  </si>
  <si>
    <t>Прежде всего сохраните данный файл под другим, удобным для Вас, именем</t>
  </si>
  <si>
    <t>Место</t>
  </si>
  <si>
    <t>МС</t>
  </si>
  <si>
    <t>КМС</t>
  </si>
  <si>
    <t>МСМК</t>
  </si>
  <si>
    <t>Забег 2</t>
  </si>
  <si>
    <t>Забег 3</t>
  </si>
  <si>
    <t>б/р</t>
  </si>
  <si>
    <t>Сектор А</t>
  </si>
  <si>
    <t xml:space="preserve"> </t>
  </si>
  <si>
    <t>Бонус</t>
  </si>
  <si>
    <t>Оч</t>
  </si>
  <si>
    <t>Главный судья</t>
  </si>
  <si>
    <t>Главный секретарь</t>
  </si>
  <si>
    <t>3ю</t>
  </si>
  <si>
    <t>2ю</t>
  </si>
  <si>
    <t>1ю</t>
  </si>
  <si>
    <t>100сб</t>
  </si>
  <si>
    <t>Сум</t>
  </si>
  <si>
    <t>Не явка</t>
  </si>
  <si>
    <t>Вет</t>
  </si>
  <si>
    <t>МИНИСТЕРСТВО СПОРТА РОССИЙСКОЙ ФЕДЕРАЦИИ</t>
  </si>
  <si>
    <t>Обязательно</t>
  </si>
  <si>
    <r>
      <rPr>
        <b/>
        <sz val="12"/>
        <color rgb="FFFF0000"/>
        <rFont val="Arial Unicode MS"/>
        <family val="2"/>
        <charset val="204"/>
      </rPr>
      <t>Все участники, включая нестартующих</t>
    </r>
    <r>
      <rPr>
        <sz val="12"/>
        <rFont val="Arial Unicode MS"/>
        <family val="2"/>
        <charset val="204"/>
      </rPr>
      <t>, должны быть внесены в стартовые протоколы. Нестартующие печатаются белым шрифтом. Если их не внести, то будет сбой в сводном протоколе.</t>
    </r>
  </si>
  <si>
    <t>1 оч</t>
  </si>
  <si>
    <t>Мнгб</t>
  </si>
  <si>
    <t>П.Ф. Безъязычный ВК Краснодар</t>
  </si>
  <si>
    <t>Е.Ю. Клочкова ВК Волгоград</t>
  </si>
  <si>
    <t>оч/мес</t>
  </si>
  <si>
    <t>оч/раз</t>
  </si>
  <si>
    <t>Для</t>
  </si>
  <si>
    <t>мол</t>
  </si>
  <si>
    <t>М</t>
  </si>
  <si>
    <t>П</t>
  </si>
  <si>
    <t>МЛ</t>
  </si>
  <si>
    <t>ж</t>
  </si>
  <si>
    <t>ня</t>
  </si>
  <si>
    <t>справка</t>
  </si>
  <si>
    <t>Кубок России</t>
  </si>
  <si>
    <t>г.Сочи, Адлерский район, стадион "Юность"</t>
  </si>
  <si>
    <t>7-борье</t>
  </si>
  <si>
    <t>Женщины</t>
  </si>
  <si>
    <t>Юниорки до 23 лет</t>
  </si>
  <si>
    <t>Начало:</t>
  </si>
  <si>
    <t>Окончание:</t>
  </si>
  <si>
    <t>бег с барьерами 100 м</t>
  </si>
  <si>
    <t>прыжок в высоту</t>
  </si>
  <si>
    <t>толкание ядра</t>
  </si>
  <si>
    <t>бег 200 м</t>
  </si>
  <si>
    <t>прыжок в длину</t>
  </si>
  <si>
    <t>метание копья</t>
  </si>
  <si>
    <t>бег 800 м</t>
  </si>
  <si>
    <t>=Расп!A1</t>
  </si>
  <si>
    <t>№ дорожки</t>
  </si>
  <si>
    <t>Нагрудный №</t>
  </si>
  <si>
    <t>Фамилия, имя                             участника</t>
  </si>
  <si>
    <t>Дата     рождения</t>
  </si>
  <si>
    <t>Территория</t>
  </si>
  <si>
    <t>№ п/п</t>
  </si>
  <si>
    <t>женщины и юниорки до 23 лет</t>
  </si>
  <si>
    <t>PM    7001</t>
  </si>
  <si>
    <t>Командные очки</t>
  </si>
  <si>
    <t>метание копья (600 г)</t>
  </si>
  <si>
    <t>t° +13 вл.86%</t>
  </si>
  <si>
    <t>бег         200 м</t>
  </si>
  <si>
    <t>бег          800 м</t>
  </si>
  <si>
    <t>Сумма очков</t>
  </si>
  <si>
    <t>Фамилия, имя участника                                       Территория, ФСО, Тренер</t>
  </si>
  <si>
    <t>PE     7001</t>
  </si>
  <si>
    <t>PP     6765</t>
  </si>
  <si>
    <t>Дата     рождения   Вып-ый раз-д</t>
  </si>
  <si>
    <t>14.02.1986</t>
  </si>
  <si>
    <t>03.02.1989</t>
  </si>
  <si>
    <t>22.06.1996</t>
  </si>
  <si>
    <t>Бутвина Александра</t>
  </si>
  <si>
    <t>Ермолина Елена</t>
  </si>
  <si>
    <t>Республика Адыгея</t>
  </si>
  <si>
    <t>Краснодарский край</t>
  </si>
  <si>
    <t>Есина И.А., Сретенцев В.В., Радух А.О.</t>
  </si>
  <si>
    <t>Суханов С.М., Парфёнова С.О.</t>
  </si>
  <si>
    <t>Руди Л.С.</t>
  </si>
  <si>
    <t>Лысенко Мария</t>
  </si>
  <si>
    <t>12.10.1998</t>
  </si>
  <si>
    <t>Подгорнова Алина</t>
  </si>
  <si>
    <t>05.05.1999</t>
  </si>
  <si>
    <t>Мирошниченко В.И., Журавлева Т.В., Ширяева Г.М.</t>
  </si>
  <si>
    <t>Чернов С.А., Чернова Т.С., Гончарова Е.Н.</t>
  </si>
  <si>
    <t>19.05.2019 г.</t>
  </si>
  <si>
    <t>по многоборью</t>
  </si>
  <si>
    <t>Секретарь:</t>
  </si>
  <si>
    <t>Ст. хронометрист:</t>
  </si>
  <si>
    <t>Рефери по бегу:</t>
  </si>
  <si>
    <t>Старший судья:</t>
  </si>
  <si>
    <t>Рефери:</t>
  </si>
  <si>
    <t>DNS</t>
  </si>
  <si>
    <t>R/med</t>
  </si>
  <si>
    <t>nm</t>
  </si>
  <si>
    <t>NM</t>
  </si>
  <si>
    <t>Главный судья соревнований</t>
  </si>
  <si>
    <t>А.В.Грудинин / ССВК/ г. Шахты</t>
  </si>
  <si>
    <t>Главный секретарь соревнований</t>
  </si>
  <si>
    <t>Г.В.Лацвиева / ССВК/ г. Шахты</t>
  </si>
  <si>
    <t>t° +23 вл.48%</t>
  </si>
  <si>
    <t>t° +20 вл.79%</t>
  </si>
  <si>
    <t>2А</t>
  </si>
  <si>
    <t>4А</t>
  </si>
  <si>
    <t>6А</t>
  </si>
  <si>
    <t>8А</t>
  </si>
  <si>
    <t>Фамилия, имя участника                                                                        Территория, ФСО, Тренер</t>
  </si>
  <si>
    <t>юниорки до 23 лет</t>
  </si>
  <si>
    <t>Командный чемпионат России</t>
  </si>
  <si>
    <t xml:space="preserve">Краснодарский край Ставропольский край </t>
  </si>
  <si>
    <t>Ж</t>
  </si>
  <si>
    <t>ГБУ КК "РЦСП по легкой атлетике", ГБУ СК "СШОР по легкой атлетике", ГБУ СК "РЦСП"</t>
  </si>
  <si>
    <t>Семиборье(ж)</t>
  </si>
  <si>
    <t/>
  </si>
  <si>
    <t xml:space="preserve">Краснодарский край  </t>
  </si>
  <si>
    <t>ГБУ КК "ЦОП по легкой атлетике", ГБУ КК  "РЦСП по легкой атлетике"</t>
  </si>
  <si>
    <t xml:space="preserve">Краснодарский край Республика Адыгея </t>
  </si>
  <si>
    <t>ГБУ КК  "РЦСП по легкой атлетике", ГБУ РА "ЦСП СК РА"</t>
  </si>
  <si>
    <t>Варламова Анастасия</t>
  </si>
  <si>
    <t>02.07.1998</t>
  </si>
  <si>
    <t>Белгородская область</t>
  </si>
  <si>
    <t xml:space="preserve">Белгородская область  </t>
  </si>
  <si>
    <t xml:space="preserve"> МАУ "СШОР № 1" г.Старый Оскол</t>
  </si>
  <si>
    <t>Власов Н.В., Власова А.В.</t>
  </si>
  <si>
    <t>Пириева Марина</t>
  </si>
  <si>
    <t>16.07.1998</t>
  </si>
  <si>
    <t>ЮФО (К)</t>
  </si>
  <si>
    <t xml:space="preserve">ЮФО (К)  </t>
  </si>
  <si>
    <t>ГБУ РК "СШ №1 г.Симферополь"</t>
  </si>
  <si>
    <t>Леонов О.Н., Копытич А.Л., Копытич Д.Л.</t>
  </si>
  <si>
    <t>Ростовская область</t>
  </si>
  <si>
    <t xml:space="preserve">Ростовская область Санкт-Петербург </t>
  </si>
  <si>
    <t>ГБУ РО "ЦОП №1", СПб ГБУ ЦОП "ШВСМ по легкой атлетике"</t>
  </si>
  <si>
    <t>Селезнева Анастасия</t>
  </si>
  <si>
    <t>15.04.1997</t>
  </si>
  <si>
    <t>Кемеровская область</t>
  </si>
  <si>
    <t xml:space="preserve">Кемеровская область  </t>
  </si>
  <si>
    <t>ГБФСУ КО "СШОР по легкой атлетике им. В.А.Савенкова"</t>
  </si>
  <si>
    <t>Муга О.Б., Грибанова С.Р., Канашевич А.М.</t>
  </si>
  <si>
    <t>Кругова Елизавета</t>
  </si>
  <si>
    <t>07.02.1999</t>
  </si>
  <si>
    <t>1</t>
  </si>
  <si>
    <t>МАФСУ "СШ №7"</t>
  </si>
  <si>
    <t>Быков И.С., Чернявская Ю.В., Ляпин И.М.</t>
  </si>
  <si>
    <t>Ладикан Юлия</t>
  </si>
  <si>
    <t>15.04.1999</t>
  </si>
  <si>
    <t>МА ФСУ «СШОР по легкой атлетике»</t>
  </si>
  <si>
    <t>Мартынов Н.М.</t>
  </si>
  <si>
    <t>Горевая Александра</t>
  </si>
  <si>
    <t>13.09.1999</t>
  </si>
  <si>
    <t>ГБФСУ КО "СШОР по легкой атлетике им. В.А.Савенкова", ФГБОУ ВО "Кузбасский государственный технический университет имени Т.Ф.Горбачёва"</t>
  </si>
  <si>
    <t>Ермишина Л.И., Ермишин Г.Н.</t>
  </si>
  <si>
    <t>Дерган Евгения</t>
  </si>
  <si>
    <t>11.04.1994</t>
  </si>
  <si>
    <t xml:space="preserve">Республика Адыгея  </t>
  </si>
  <si>
    <t>ГБУ РА "ЦСП СК РА"</t>
  </si>
  <si>
    <t>Тынченко Анастасия</t>
  </si>
  <si>
    <t>ФГБОУ ВО "АГУ"</t>
  </si>
  <si>
    <t>Каширина Оксана</t>
  </si>
  <si>
    <t>13.02.1997</t>
  </si>
  <si>
    <t>ГБУ РА СШОР №1</t>
  </si>
  <si>
    <t>Парфёнова С.О., Суханов С.М.</t>
  </si>
  <si>
    <t>Пшичкина Марина</t>
  </si>
  <si>
    <t>08.05.1997</t>
  </si>
  <si>
    <t>Москва</t>
  </si>
  <si>
    <t xml:space="preserve">Москва Пензенская область </t>
  </si>
  <si>
    <t>ГБУ "ЦОП по легкой атлетике" Москомспорта, ГАУ ЦСП ПО, ГБУ ПО "Комплексная СШОР"</t>
  </si>
  <si>
    <t>Зотова Н.А., Канашевич А.М.</t>
  </si>
  <si>
    <t>Бучкина Анна</t>
  </si>
  <si>
    <t>10.11.1999</t>
  </si>
  <si>
    <t>Санкт-Петербург</t>
  </si>
  <si>
    <t xml:space="preserve">Санкт-Петербург  </t>
  </si>
  <si>
    <t>СПб ГБУ ЦОП "ШВСМ по легкой атлетике"</t>
  </si>
  <si>
    <t>Дмитриев И.В., Миронов А.А., Ясюлянис В.Ф.</t>
  </si>
  <si>
    <t>Солнышкова Юлия</t>
  </si>
  <si>
    <t>28.12.1998</t>
  </si>
  <si>
    <t>Республика Татарстан</t>
  </si>
  <si>
    <t xml:space="preserve">Республика Татарстан  </t>
  </si>
  <si>
    <t>ГБПОУ "КАЗУОР"</t>
  </si>
  <si>
    <t>Арбеев О.А.</t>
  </si>
  <si>
    <t>04.09.2019 г.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</si>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</sst>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;@"/>
    <numFmt numFmtId="165" formatCode="0.0"/>
    <numFmt numFmtId="166" formatCode="[$-F800]dddd\,\ mmmm\ dd\,\ yyyy"/>
  </numFmts>
  <fonts count="38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 Unicode MS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Arial Unicode MS"/>
      <family val="2"/>
      <charset val="204"/>
    </font>
    <font>
      <sz val="8"/>
      <name val="Arial Unicode MS"/>
      <family val="2"/>
      <charset val="204"/>
    </font>
    <font>
      <b/>
      <sz val="12"/>
      <name val="Arial Unicode MS"/>
      <family val="2"/>
      <charset val="204"/>
    </font>
    <font>
      <b/>
      <i/>
      <sz val="12"/>
      <name val="Arial Unicode MS"/>
      <family val="2"/>
      <charset val="204"/>
    </font>
    <font>
      <b/>
      <sz val="12"/>
      <color indexed="10"/>
      <name val="Arial Unicode MS"/>
      <family val="2"/>
      <charset val="204"/>
    </font>
    <font>
      <b/>
      <i/>
      <sz val="10"/>
      <name val="Arial Cyr"/>
      <charset val="204"/>
    </font>
    <font>
      <sz val="10"/>
      <name val="Arial Unicode MS"/>
      <family val="2"/>
      <charset val="204"/>
    </font>
    <font>
      <sz val="10"/>
      <name val="Arial Cyr"/>
      <charset val="204"/>
    </font>
    <font>
      <b/>
      <i/>
      <sz val="12"/>
      <color rgb="FFFF0000"/>
      <name val="Arial Unicode MS"/>
      <family val="2"/>
      <charset val="204"/>
    </font>
    <font>
      <b/>
      <sz val="12"/>
      <color rgb="FFFF0000"/>
      <name val="Arial Unicode MS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6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2" fillId="0" borderId="0"/>
    <xf numFmtId="0" fontId="13" fillId="0" borderId="0"/>
  </cellStyleXfs>
  <cellXfs count="444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0" fillId="0" borderId="0" xfId="0" applyAlignment="1">
      <alignment horizontal="left"/>
    </xf>
    <xf numFmtId="0" fontId="11" fillId="0" borderId="0" xfId="0" applyFont="1" applyAlignment="1">
      <alignment horizontal="left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/>
    </xf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vertical="top"/>
    </xf>
    <xf numFmtId="0" fontId="12" fillId="0" borderId="0" xfId="0" applyFont="1"/>
    <xf numFmtId="164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shrinkToFit="1"/>
    </xf>
    <xf numFmtId="49" fontId="2" fillId="0" borderId="1" xfId="0" applyNumberFormat="1" applyFont="1" applyBorder="1" applyAlignment="1">
      <alignment vertical="top"/>
    </xf>
    <xf numFmtId="20" fontId="4" fillId="0" borderId="16" xfId="0" applyNumberFormat="1" applyFont="1" applyBorder="1" applyAlignment="1">
      <alignment horizontal="center"/>
    </xf>
    <xf numFmtId="0" fontId="6" fillId="0" borderId="0" xfId="0" applyFont="1" applyAlignment="1">
      <alignment wrapText="1"/>
    </xf>
    <xf numFmtId="0" fontId="14" fillId="0" borderId="0" xfId="0" applyFont="1"/>
    <xf numFmtId="0" fontId="16" fillId="0" borderId="1" xfId="0" applyFont="1" applyBorder="1" applyAlignment="1">
      <alignment horizontal="center" vertical="center"/>
    </xf>
    <xf numFmtId="0" fontId="12" fillId="0" borderId="0" xfId="0" applyFont="1"/>
    <xf numFmtId="164" fontId="2" fillId="0" borderId="0" xfId="0" applyNumberFormat="1" applyFont="1"/>
    <xf numFmtId="0" fontId="1" fillId="0" borderId="0" xfId="0" applyFont="1" applyAlignment="1">
      <alignment horizontal="center"/>
    </xf>
    <xf numFmtId="1" fontId="1" fillId="0" borderId="0" xfId="0" applyNumberFormat="1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64" fontId="2" fillId="0" borderId="0" xfId="0" applyNumberFormat="1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164" fontId="18" fillId="0" borderId="0" xfId="0" applyNumberFormat="1" applyFont="1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19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shrinkToFit="1"/>
    </xf>
    <xf numFmtId="14" fontId="19" fillId="0" borderId="1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shrinkToFit="1"/>
    </xf>
    <xf numFmtId="2" fontId="20" fillId="0" borderId="7" xfId="0" applyNumberFormat="1" applyFont="1" applyBorder="1" applyAlignment="1">
      <alignment horizontal="center"/>
    </xf>
    <xf numFmtId="165" fontId="21" fillId="0" borderId="1" xfId="0" applyNumberFormat="1" applyFont="1" applyBorder="1" applyAlignment="1">
      <alignment horizontal="center"/>
    </xf>
    <xf numFmtId="1" fontId="2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shrinkToFit="1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shrinkToFit="1"/>
    </xf>
    <xf numFmtId="0" fontId="1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shrinkToFit="1"/>
    </xf>
    <xf numFmtId="0" fontId="20" fillId="0" borderId="0" xfId="0" applyFont="1" applyAlignment="1">
      <alignment horizontal="center"/>
    </xf>
    <xf numFmtId="1" fontId="20" fillId="0" borderId="0" xfId="0" applyNumberFormat="1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shrinkToFit="1"/>
    </xf>
    <xf numFmtId="14" fontId="19" fillId="0" borderId="0" xfId="0" applyNumberFormat="1" applyFont="1" applyAlignment="1">
      <alignment horizontal="center"/>
    </xf>
    <xf numFmtId="14" fontId="19" fillId="0" borderId="0" xfId="0" applyNumberFormat="1" applyFont="1" applyAlignment="1">
      <alignment shrinkToFit="1"/>
    </xf>
    <xf numFmtId="2" fontId="20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left"/>
    </xf>
    <xf numFmtId="14" fontId="1" fillId="0" borderId="0" xfId="0" applyNumberFormat="1" applyFont="1"/>
    <xf numFmtId="0" fontId="21" fillId="0" borderId="0" xfId="0" applyFont="1" applyAlignment="1">
      <alignment horizontal="center"/>
    </xf>
    <xf numFmtId="1" fontId="19" fillId="0" borderId="0" xfId="0" applyNumberFormat="1" applyFont="1"/>
    <xf numFmtId="49" fontId="1" fillId="2" borderId="1" xfId="0" applyNumberFormat="1" applyFont="1" applyFill="1" applyBorder="1" applyAlignment="1">
      <alignment horizont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14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14" fontId="1" fillId="0" borderId="5" xfId="0" applyNumberFormat="1" applyFont="1" applyBorder="1"/>
    <xf numFmtId="0" fontId="1" fillId="0" borderId="0" xfId="0" applyFont="1" applyAlignment="1">
      <alignment horizontal="center" vertical="center"/>
    </xf>
    <xf numFmtId="0" fontId="1" fillId="2" borderId="1" xfId="0" quotePrefix="1" applyFont="1" applyFill="1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164" fontId="2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18" fillId="0" borderId="0" xfId="0" applyFont="1"/>
    <xf numFmtId="0" fontId="23" fillId="0" borderId="1" xfId="0" applyFont="1" applyBorder="1" applyAlignment="1">
      <alignment horizontal="center"/>
    </xf>
    <xf numFmtId="0" fontId="23" fillId="0" borderId="25" xfId="0" applyFont="1" applyBorder="1" applyAlignment="1">
      <alignment horizontal="center"/>
    </xf>
    <xf numFmtId="0" fontId="23" fillId="0" borderId="26" xfId="0" applyFont="1" applyBorder="1" applyAlignment="1">
      <alignment horizontal="center"/>
    </xf>
    <xf numFmtId="1" fontId="23" fillId="0" borderId="0" xfId="0" applyNumberFormat="1" applyFont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shrinkToFit="1"/>
    </xf>
    <xf numFmtId="49" fontId="1" fillId="0" borderId="6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1" fontId="20" fillId="0" borderId="6" xfId="0" applyNumberFormat="1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23" fillId="0" borderId="0" xfId="0" applyFont="1"/>
    <xf numFmtId="164" fontId="25" fillId="0" borderId="0" xfId="0" applyNumberFormat="1" applyFont="1" applyAlignment="1">
      <alignment horizontal="left"/>
    </xf>
    <xf numFmtId="2" fontId="2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vertical="center" shrinkToFit="1"/>
    </xf>
    <xf numFmtId="14" fontId="1" fillId="0" borderId="1" xfId="0" applyNumberFormat="1" applyFont="1" applyBorder="1" applyAlignment="1">
      <alignment horizontal="center" vertical="center"/>
    </xf>
    <xf numFmtId="14" fontId="1" fillId="0" borderId="14" xfId="0" applyNumberFormat="1" applyFont="1" applyBorder="1" applyAlignment="1">
      <alignment vertical="center" shrinkToFit="1"/>
    </xf>
    <xf numFmtId="2" fontId="19" fillId="0" borderId="5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vertical="center" shrinkToFit="1"/>
    </xf>
    <xf numFmtId="2" fontId="19" fillId="0" borderId="5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19" fillId="0" borderId="1" xfId="0" applyFont="1" applyBorder="1" applyAlignment="1">
      <alignment vertical="center" shrinkToFit="1"/>
    </xf>
    <xf numFmtId="14" fontId="19" fillId="0" borderId="1" xfId="0" applyNumberFormat="1" applyFont="1" applyBorder="1" applyAlignment="1">
      <alignment horizontal="center" vertical="center"/>
    </xf>
    <xf numFmtId="2" fontId="20" fillId="0" borderId="7" xfId="0" applyNumberFormat="1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" fillId="0" borderId="5" xfId="0" applyNumberFormat="1" applyFont="1" applyBorder="1" applyAlignment="1">
      <alignment vertical="center" shrinkToFit="1"/>
    </xf>
    <xf numFmtId="0" fontId="20" fillId="0" borderId="0" xfId="0" applyFont="1" applyAlignment="1">
      <alignment horizontal="center" shrinkToFit="1"/>
    </xf>
    <xf numFmtId="165" fontId="20" fillId="0" borderId="0" xfId="0" applyNumberFormat="1" applyFont="1" applyAlignment="1">
      <alignment horizontal="center"/>
    </xf>
    <xf numFmtId="14" fontId="19" fillId="0" borderId="5" xfId="0" applyNumberFormat="1" applyFont="1" applyBorder="1" applyAlignment="1">
      <alignment shrinkToFit="1"/>
    </xf>
    <xf numFmtId="165" fontId="19" fillId="0" borderId="1" xfId="0" applyNumberFormat="1" applyFont="1" applyBorder="1" applyAlignment="1">
      <alignment horizontal="center"/>
    </xf>
    <xf numFmtId="14" fontId="1" fillId="0" borderId="5" xfId="0" applyNumberFormat="1" applyFont="1" applyBorder="1" applyAlignment="1">
      <alignment shrinkToFit="1"/>
    </xf>
    <xf numFmtId="165" fontId="20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9" fillId="0" borderId="0" xfId="0" applyFont="1" applyAlignment="1">
      <alignment horizontal="center"/>
    </xf>
    <xf numFmtId="14" fontId="19" fillId="0" borderId="5" xfId="0" applyNumberFormat="1" applyFont="1" applyBorder="1"/>
    <xf numFmtId="0" fontId="19" fillId="0" borderId="1" xfId="0" applyFont="1" applyBorder="1" applyAlignment="1">
      <alignment horizontal="center"/>
    </xf>
    <xf numFmtId="164" fontId="2" fillId="0" borderId="0" xfId="0" applyNumberFormat="1" applyFont="1" applyAlignment="1">
      <alignment horizontal="right"/>
    </xf>
    <xf numFmtId="0" fontId="2" fillId="0" borderId="5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2" fontId="19" fillId="0" borderId="7" xfId="0" applyNumberFormat="1" applyFont="1" applyBorder="1" applyAlignment="1">
      <alignment horizontal="center" vertical="center"/>
    </xf>
    <xf numFmtId="165" fontId="26" fillId="0" borderId="5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65" fontId="21" fillId="0" borderId="1" xfId="0" applyNumberFormat="1" applyFont="1" applyBorder="1" applyAlignment="1">
      <alignment horizontal="center" vertical="center"/>
    </xf>
    <xf numFmtId="1" fontId="20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left"/>
    </xf>
    <xf numFmtId="14" fontId="1" fillId="0" borderId="1" xfId="0" applyNumberFormat="1" applyFont="1" applyBorder="1" applyAlignment="1">
      <alignment horizontal="center" vertical="center" shrinkToFit="1"/>
    </xf>
    <xf numFmtId="2" fontId="19" fillId="0" borderId="14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horizontal="center" vertical="center" shrinkToFit="1"/>
    </xf>
    <xf numFmtId="14" fontId="19" fillId="0" borderId="14" xfId="0" applyNumberFormat="1" applyFont="1" applyBorder="1" applyAlignment="1">
      <alignment vertical="center" shrinkToFit="1"/>
    </xf>
    <xf numFmtId="0" fontId="1" fillId="0" borderId="31" xfId="0" applyFont="1" applyBorder="1" applyAlignment="1">
      <alignment horizontal="center"/>
    </xf>
    <xf numFmtId="2" fontId="20" fillId="0" borderId="16" xfId="0" applyNumberFormat="1" applyFont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/>
    </xf>
    <xf numFmtId="1" fontId="20" fillId="0" borderId="0" xfId="0" applyNumberFormat="1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14" fontId="19" fillId="0" borderId="14" xfId="0" applyNumberFormat="1" applyFont="1" applyBorder="1" applyAlignment="1">
      <alignment vertical="center"/>
    </xf>
    <xf numFmtId="166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left"/>
    </xf>
    <xf numFmtId="0" fontId="27" fillId="0" borderId="0" xfId="0" applyFont="1" applyAlignment="1">
      <alignment horizontal="left"/>
    </xf>
    <xf numFmtId="164" fontId="1" fillId="0" borderId="0" xfId="0" applyNumberFormat="1" applyFont="1"/>
    <xf numFmtId="164" fontId="17" fillId="0" borderId="0" xfId="0" applyNumberFormat="1" applyFont="1" applyAlignment="1">
      <alignment horizontal="left"/>
    </xf>
    <xf numFmtId="164" fontId="27" fillId="0" borderId="0" xfId="0" applyNumberFormat="1" applyFont="1"/>
    <xf numFmtId="0" fontId="27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49" fontId="1" fillId="0" borderId="0" xfId="0" applyNumberFormat="1" applyFont="1"/>
    <xf numFmtId="20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18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" fillId="0" borderId="0" xfId="0" applyFont="1" applyFill="1" applyAlignment="1"/>
    <xf numFmtId="164" fontId="1" fillId="0" borderId="0" xfId="0" applyNumberFormat="1" applyFont="1" applyFill="1" applyAlignment="1"/>
    <xf numFmtId="164" fontId="2" fillId="0" borderId="0" xfId="0" applyNumberFormat="1" applyFont="1" applyFill="1" applyAlignment="1"/>
    <xf numFmtId="0" fontId="1" fillId="0" borderId="0" xfId="0" applyNumberFormat="1" applyFont="1"/>
    <xf numFmtId="0" fontId="28" fillId="0" borderId="1" xfId="0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right"/>
    </xf>
    <xf numFmtId="0" fontId="29" fillId="2" borderId="0" xfId="0" applyFont="1" applyFill="1" applyAlignment="1">
      <alignment horizontal="right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30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31" fillId="0" borderId="0" xfId="0" applyFont="1" applyAlignment="1">
      <alignment horizontal="right"/>
    </xf>
    <xf numFmtId="0" fontId="32" fillId="0" borderId="0" xfId="0" applyFont="1" applyAlignment="1">
      <alignment horizontal="left"/>
    </xf>
    <xf numFmtId="0" fontId="30" fillId="2" borderId="1" xfId="0" applyFont="1" applyFill="1" applyBorder="1"/>
    <xf numFmtId="0" fontId="28" fillId="2" borderId="1" xfId="0" applyFont="1" applyFill="1" applyBorder="1" applyAlignment="1">
      <alignment horizontal="center"/>
    </xf>
    <xf numFmtId="0" fontId="30" fillId="2" borderId="0" xfId="0" applyFont="1" applyFill="1" applyAlignment="1">
      <alignment horizontal="left"/>
    </xf>
    <xf numFmtId="0" fontId="1" fillId="3" borderId="0" xfId="0" applyFont="1" applyFill="1"/>
    <xf numFmtId="0" fontId="29" fillId="3" borderId="0" xfId="0" applyFont="1" applyFill="1" applyAlignment="1">
      <alignment horizontal="left" vertical="center"/>
    </xf>
    <xf numFmtId="0" fontId="31" fillId="3" borderId="0" xfId="0" applyFont="1" applyFill="1" applyAlignment="1">
      <alignment horizontal="right" vertical="center"/>
    </xf>
    <xf numFmtId="0" fontId="30" fillId="2" borderId="15" xfId="0" applyFont="1" applyFill="1" applyBorder="1"/>
    <xf numFmtId="1" fontId="17" fillId="0" borderId="0" xfId="0" applyNumberFormat="1" applyFont="1" applyAlignment="1">
      <alignment horizontal="center"/>
    </xf>
    <xf numFmtId="0" fontId="23" fillId="3" borderId="1" xfId="0" applyFont="1" applyFill="1" applyBorder="1" applyAlignment="1">
      <alignment horizontal="center"/>
    </xf>
    <xf numFmtId="0" fontId="23" fillId="0" borderId="0" xfId="0" applyFont="1" applyAlignment="1">
      <alignment horizontal="right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1" fontId="2" fillId="0" borderId="13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14" fontId="33" fillId="0" borderId="29" xfId="0" applyNumberFormat="1" applyFont="1" applyBorder="1" applyAlignment="1">
      <alignment horizontal="right" vertical="center"/>
    </xf>
    <xf numFmtId="2" fontId="1" fillId="0" borderId="20" xfId="0" applyNumberFormat="1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14" fontId="33" fillId="0" borderId="28" xfId="0" applyNumberFormat="1" applyFont="1" applyBorder="1" applyAlignment="1">
      <alignment horizontal="right" vertical="center"/>
    </xf>
    <xf numFmtId="165" fontId="34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" fontId="1" fillId="0" borderId="2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14" fontId="30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 shrinkToFit="1"/>
    </xf>
    <xf numFmtId="14" fontId="30" fillId="0" borderId="13" xfId="0" applyNumberFormat="1" applyFont="1" applyBorder="1" applyAlignment="1">
      <alignment horizontal="center" vertical="center"/>
    </xf>
    <xf numFmtId="14" fontId="33" fillId="0" borderId="30" xfId="0" applyNumberFormat="1" applyFont="1" applyBorder="1" applyAlignment="1">
      <alignment horizontal="right" vertical="center"/>
    </xf>
    <xf numFmtId="1" fontId="1" fillId="0" borderId="13" xfId="0" applyNumberFormat="1" applyFont="1" applyBorder="1" applyAlignment="1">
      <alignment horizontal="center" vertical="center"/>
    </xf>
    <xf numFmtId="1" fontId="1" fillId="0" borderId="23" xfId="0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2" fontId="19" fillId="0" borderId="20" xfId="0" applyNumberFormat="1" applyFont="1" applyBorder="1" applyAlignment="1">
      <alignment horizontal="center" vertical="center"/>
    </xf>
    <xf numFmtId="1" fontId="19" fillId="0" borderId="18" xfId="0" applyNumberFormat="1" applyFont="1" applyBorder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165" fontId="26" fillId="0" borderId="0" xfId="0" applyNumberFormat="1" applyFont="1" applyAlignment="1">
      <alignment horizontal="center" vertical="center"/>
    </xf>
    <xf numFmtId="1" fontId="19" fillId="0" borderId="21" xfId="0" applyNumberFormat="1" applyFont="1" applyBorder="1" applyAlignment="1">
      <alignment horizontal="center" vertical="center"/>
    </xf>
    <xf numFmtId="1" fontId="19" fillId="0" borderId="0" xfId="0" applyNumberFormat="1" applyFont="1" applyAlignment="1">
      <alignment horizontal="center" vertical="center"/>
    </xf>
    <xf numFmtId="1" fontId="19" fillId="0" borderId="13" xfId="0" applyNumberFormat="1" applyFont="1" applyBorder="1" applyAlignment="1">
      <alignment horizontal="center" vertical="center"/>
    </xf>
    <xf numFmtId="1" fontId="19" fillId="0" borderId="23" xfId="0" applyNumberFormat="1" applyFont="1" applyBorder="1" applyAlignment="1">
      <alignment horizontal="center" vertical="center"/>
    </xf>
    <xf numFmtId="14" fontId="33" fillId="0" borderId="0" xfId="0" applyNumberFormat="1" applyFont="1" applyAlignment="1">
      <alignment horizontal="right" vertical="center"/>
    </xf>
    <xf numFmtId="14" fontId="33" fillId="0" borderId="18" xfId="0" applyNumberFormat="1" applyFont="1" applyBorder="1" applyAlignment="1">
      <alignment horizontal="right" vertical="center"/>
    </xf>
    <xf numFmtId="2" fontId="19" fillId="0" borderId="17" xfId="0" applyNumberFormat="1" applyFont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4" fontId="33" fillId="0" borderId="21" xfId="0" applyNumberFormat="1" applyFont="1" applyBorder="1" applyAlignment="1">
      <alignment horizontal="right" vertical="center"/>
    </xf>
    <xf numFmtId="1" fontId="19" fillId="0" borderId="8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14" fontId="33" fillId="0" borderId="23" xfId="0" applyNumberFormat="1" applyFont="1" applyBorder="1" applyAlignment="1">
      <alignment horizontal="right" vertical="center"/>
    </xf>
    <xf numFmtId="1" fontId="19" fillId="0" borderId="12" xfId="0" applyNumberFormat="1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24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vertical="center"/>
    </xf>
    <xf numFmtId="0" fontId="1" fillId="2" borderId="0" xfId="0" applyFont="1" applyFill="1" applyBorder="1"/>
    <xf numFmtId="0" fontId="30" fillId="2" borderId="0" xfId="0" applyFont="1" applyFill="1" applyBorder="1"/>
    <xf numFmtId="0" fontId="28" fillId="2" borderId="0" xfId="0" applyFont="1" applyFill="1" applyBorder="1" applyAlignment="1">
      <alignment horizontal="center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/>
    </xf>
    <xf numFmtId="14" fontId="33" fillId="0" borderId="28" xfId="0" applyNumberFormat="1" applyFont="1" applyBorder="1" applyAlignment="1">
      <alignment horizontal="center" vertical="center"/>
    </xf>
    <xf numFmtId="14" fontId="33" fillId="0" borderId="30" xfId="0" applyNumberFormat="1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 wrapText="1"/>
    </xf>
    <xf numFmtId="2" fontId="1" fillId="0" borderId="20" xfId="0" applyNumberFormat="1" applyFont="1" applyBorder="1" applyAlignment="1">
      <alignment horizontal="left" vertical="center"/>
    </xf>
    <xf numFmtId="1" fontId="20" fillId="0" borderId="13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Border="1" applyAlignment="1">
      <alignment horizontal="left" vertical="center"/>
    </xf>
    <xf numFmtId="2" fontId="20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left" vertical="top" wrapText="1"/>
    </xf>
    <xf numFmtId="0" fontId="1" fillId="0" borderId="0" xfId="1" applyFont="1" applyAlignment="1">
      <alignment horizontal="left" vertical="center"/>
    </xf>
    <xf numFmtId="14" fontId="35" fillId="0" borderId="0" xfId="0" applyNumberFormat="1" applyFont="1" applyAlignment="1">
      <alignment horizontal="left"/>
    </xf>
    <xf numFmtId="0" fontId="35" fillId="0" borderId="0" xfId="0" applyFont="1" applyAlignment="1">
      <alignment horizontal="left"/>
    </xf>
    <xf numFmtId="0" fontId="35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0" borderId="31" xfId="0" applyFont="1" applyBorder="1" applyAlignment="1">
      <alignment shrinkToFit="1"/>
    </xf>
    <xf numFmtId="14" fontId="1" fillId="0" borderId="31" xfId="0" applyNumberFormat="1" applyFont="1" applyBorder="1" applyAlignment="1">
      <alignment horizontal="center"/>
    </xf>
    <xf numFmtId="14" fontId="1" fillId="0" borderId="34" xfId="0" applyNumberFormat="1" applyFont="1" applyBorder="1" applyAlignment="1">
      <alignment shrinkToFit="1"/>
    </xf>
    <xf numFmtId="49" fontId="1" fillId="0" borderId="35" xfId="0" applyNumberFormat="1" applyFont="1" applyBorder="1" applyAlignment="1">
      <alignment horizontal="center"/>
    </xf>
    <xf numFmtId="49" fontId="1" fillId="0" borderId="31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2" fontId="20" fillId="0" borderId="37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shrinkToFit="1"/>
    </xf>
    <xf numFmtId="14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shrinkToFit="1"/>
    </xf>
    <xf numFmtId="49" fontId="1" fillId="0" borderId="0" xfId="0" applyNumberFormat="1" applyFont="1" applyBorder="1" applyAlignment="1">
      <alignment horizontal="center"/>
    </xf>
    <xf numFmtId="2" fontId="20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31" xfId="0" applyFont="1" applyBorder="1" applyAlignment="1">
      <alignment horizontal="center" vertical="center"/>
    </xf>
    <xf numFmtId="0" fontId="1" fillId="0" borderId="31" xfId="0" applyFont="1" applyBorder="1" applyAlignment="1">
      <alignment vertical="center" shrinkToFit="1"/>
    </xf>
    <xf numFmtId="14" fontId="1" fillId="0" borderId="31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vertical="center" shrinkToFit="1"/>
    </xf>
    <xf numFmtId="2" fontId="19" fillId="0" borderId="36" xfId="0" applyNumberFormat="1" applyFont="1" applyBorder="1" applyAlignment="1">
      <alignment horizontal="center" vertical="center"/>
    </xf>
    <xf numFmtId="2" fontId="19" fillId="0" borderId="36" xfId="0" applyNumberFormat="1" applyFont="1" applyBorder="1" applyAlignment="1">
      <alignment horizontal="center"/>
    </xf>
    <xf numFmtId="1" fontId="20" fillId="0" borderId="3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14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vertical="center" shrinkToFit="1"/>
    </xf>
    <xf numFmtId="2" fontId="19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0" fontId="1" fillId="0" borderId="0" xfId="0" applyFont="1" applyBorder="1"/>
    <xf numFmtId="2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" fontId="1" fillId="3" borderId="1" xfId="0" applyNumberFormat="1" applyFont="1" applyFill="1" applyBorder="1" applyAlignment="1">
      <alignment horizontal="right"/>
    </xf>
    <xf numFmtId="2" fontId="19" fillId="0" borderId="37" xfId="0" applyNumberFormat="1" applyFont="1" applyBorder="1" applyAlignment="1">
      <alignment horizontal="center" vertical="center"/>
    </xf>
    <xf numFmtId="165" fontId="26" fillId="0" borderId="36" xfId="0" applyNumberFormat="1" applyFont="1" applyBorder="1" applyAlignment="1">
      <alignment horizontal="center" vertical="center"/>
    </xf>
    <xf numFmtId="2" fontId="20" fillId="0" borderId="37" xfId="0" applyNumberFormat="1" applyFont="1" applyBorder="1" applyAlignment="1">
      <alignment horizontal="center" vertical="center"/>
    </xf>
    <xf numFmtId="165" fontId="21" fillId="0" borderId="31" xfId="0" applyNumberFormat="1" applyFont="1" applyBorder="1" applyAlignment="1">
      <alignment horizontal="center" vertical="center"/>
    </xf>
    <xf numFmtId="165" fontId="26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165" fontId="21" fillId="0" borderId="0" xfId="0" applyNumberFormat="1" applyFont="1" applyBorder="1" applyAlignment="1">
      <alignment horizontal="center" vertical="center"/>
    </xf>
    <xf numFmtId="2" fontId="20" fillId="0" borderId="1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horizontal="center" vertical="center" shrinkToFit="1"/>
    </xf>
    <xf numFmtId="2" fontId="19" fillId="0" borderId="34" xfId="0" applyNumberFormat="1" applyFont="1" applyBorder="1" applyAlignment="1">
      <alignment horizontal="center"/>
    </xf>
    <xf numFmtId="2" fontId="20" fillId="0" borderId="38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center" vertical="center" shrinkToFit="1"/>
    </xf>
    <xf numFmtId="2" fontId="2" fillId="0" borderId="0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vertical="center" shrinkToFit="1"/>
    </xf>
    <xf numFmtId="165" fontId="19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" fontId="2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65" fontId="34" fillId="0" borderId="0" xfId="0" applyNumberFormat="1" applyFont="1" applyBorder="1" applyAlignment="1">
      <alignment horizontal="center" vertical="center"/>
    </xf>
    <xf numFmtId="14" fontId="3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28" xfId="0" applyFont="1" applyBorder="1" applyAlignment="1">
      <alignment vertical="center" shrinkToFit="1"/>
    </xf>
    <xf numFmtId="14" fontId="33" fillId="0" borderId="15" xfId="0" applyNumberFormat="1" applyFont="1" applyBorder="1" applyAlignment="1">
      <alignment horizontal="center" vertical="center"/>
    </xf>
    <xf numFmtId="14" fontId="33" fillId="0" borderId="31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1" fontId="2" fillId="0" borderId="28" xfId="0" applyNumberFormat="1" applyFont="1" applyBorder="1" applyAlignment="1">
      <alignment horizontal="center" vertical="center"/>
    </xf>
    <xf numFmtId="1" fontId="2" fillId="0" borderId="31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14" fontId="30" fillId="0" borderId="38" xfId="0" applyNumberFormat="1" applyFont="1" applyBorder="1" applyAlignment="1">
      <alignment horizontal="center" vertical="center"/>
    </xf>
    <xf numFmtId="1" fontId="1" fillId="0" borderId="38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/>
    </xf>
    <xf numFmtId="1" fontId="1" fillId="0" borderId="0" xfId="0" applyNumberFormat="1" applyFont="1" applyBorder="1"/>
    <xf numFmtId="0" fontId="1" fillId="0" borderId="0" xfId="0" applyFont="1" applyFill="1" applyBorder="1"/>
    <xf numFmtId="165" fontId="34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2" fontId="2" fillId="2" borderId="0" xfId="0" applyNumberFormat="1" applyFont="1" applyFill="1" applyBorder="1" applyAlignment="1">
      <alignment horizontal="center"/>
    </xf>
    <xf numFmtId="20" fontId="30" fillId="0" borderId="0" xfId="0" applyNumberFormat="1" applyFont="1" applyAlignment="1">
      <alignment horizontal="center"/>
    </xf>
    <xf numFmtId="0" fontId="30" fillId="0" borderId="0" xfId="0" applyNumberFormat="1" applyFont="1" applyAlignment="1">
      <alignment horizontal="center"/>
    </xf>
    <xf numFmtId="0" fontId="19" fillId="0" borderId="28" xfId="0" applyFont="1" applyBorder="1" applyAlignment="1">
      <alignment horizontal="center" vertical="center"/>
    </xf>
    <xf numFmtId="1" fontId="20" fillId="0" borderId="28" xfId="0" applyNumberFormat="1" applyFont="1" applyBorder="1" applyAlignment="1">
      <alignment horizontal="center" vertical="center"/>
    </xf>
    <xf numFmtId="1" fontId="20" fillId="0" borderId="31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vertical="center" wrapText="1" shrinkToFit="1"/>
    </xf>
    <xf numFmtId="0" fontId="1" fillId="0" borderId="31" xfId="0" applyFont="1" applyBorder="1" applyAlignment="1">
      <alignment vertical="center" wrapText="1" shrinkToFit="1"/>
    </xf>
    <xf numFmtId="0" fontId="1" fillId="4" borderId="1" xfId="0" applyFont="1" applyFill="1" applyBorder="1" applyAlignment="1">
      <alignment horizontal="center" vertical="center"/>
    </xf>
    <xf numFmtId="0" fontId="36" fillId="0" borderId="33" xfId="0" applyFont="1" applyBorder="1" applyAlignment="1">
      <alignment horizontal="left" vertical="top" wrapText="1"/>
    </xf>
    <xf numFmtId="0" fontId="36" fillId="0" borderId="39" xfId="0" applyFont="1" applyBorder="1" applyAlignment="1">
      <alignment horizontal="left" vertical="top" wrapText="1"/>
    </xf>
    <xf numFmtId="0" fontId="27" fillId="4" borderId="31" xfId="0" applyFont="1" applyFill="1" applyBorder="1" applyAlignment="1">
      <alignment horizontal="left" vertical="center"/>
    </xf>
    <xf numFmtId="0" fontId="27" fillId="0" borderId="40" xfId="0" applyFont="1" applyBorder="1" applyAlignment="1">
      <alignment horizontal="center" vertical="center"/>
    </xf>
    <xf numFmtId="0" fontId="27" fillId="0" borderId="4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/>
    </xf>
    <xf numFmtId="0" fontId="36" fillId="0" borderId="1" xfId="0" applyFont="1" applyBorder="1" applyAlignment="1">
      <alignment horizontal="left" vertical="top"/>
    </xf>
    <xf numFmtId="0" fontId="36" fillId="3" borderId="1" xfId="0" applyFont="1" applyFill="1" applyBorder="1" applyAlignment="1">
      <alignment horizontal="left" vertical="top"/>
    </xf>
    <xf numFmtId="0" fontId="36" fillId="3" borderId="1" xfId="0" applyFont="1" applyFill="1" applyBorder="1" applyAlignment="1">
      <alignment horizontal="center" vertical="top"/>
    </xf>
    <xf numFmtId="0" fontId="36" fillId="3" borderId="1" xfId="0" applyFont="1" applyFill="1" applyBorder="1" applyAlignment="1">
      <alignment horizontal="left" vertical="top" wrapText="1"/>
    </xf>
    <xf numFmtId="0" fontId="36" fillId="4" borderId="1" xfId="0" applyFont="1" applyFill="1" applyBorder="1" applyAlignment="1">
      <alignment horizontal="left" vertical="top"/>
    </xf>
    <xf numFmtId="0" fontId="36" fillId="4" borderId="39" xfId="0" applyFont="1" applyFill="1" applyBorder="1" applyAlignment="1">
      <alignment horizontal="left" vertical="top" wrapText="1"/>
    </xf>
    <xf numFmtId="0" fontId="36" fillId="4" borderId="33" xfId="0" applyFont="1" applyFill="1" applyBorder="1" applyAlignment="1">
      <alignment horizontal="left" vertical="top" wrapText="1"/>
    </xf>
    <xf numFmtId="0" fontId="1" fillId="0" borderId="0" xfId="0" applyFont="1"/>
    <xf numFmtId="0" fontId="36" fillId="0" borderId="33" xfId="0" applyFont="1" applyBorder="1" applyAlignment="1">
      <alignment horizontal="left" vertical="top"/>
    </xf>
    <xf numFmtId="0" fontId="36" fillId="3" borderId="33" xfId="0" applyFont="1" applyFill="1" applyBorder="1" applyAlignment="1">
      <alignment horizontal="left" vertical="top"/>
    </xf>
    <xf numFmtId="0" fontId="36" fillId="3" borderId="33" xfId="0" applyFont="1" applyFill="1" applyBorder="1" applyAlignment="1">
      <alignment horizontal="center" vertical="top"/>
    </xf>
    <xf numFmtId="0" fontId="36" fillId="3" borderId="3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7" fillId="3" borderId="33" xfId="0" applyFont="1" applyFill="1" applyBorder="1" applyAlignment="1">
      <alignment horizontal="left" vertical="top" wrapText="1"/>
    </xf>
    <xf numFmtId="0" fontId="36" fillId="4" borderId="33" xfId="0" applyFont="1" applyFill="1" applyBorder="1" applyAlignment="1">
      <alignment horizontal="left" vertical="top"/>
    </xf>
    <xf numFmtId="0" fontId="37" fillId="4" borderId="33" xfId="0" applyFont="1" applyFill="1" applyBorder="1" applyAlignment="1">
      <alignment horizontal="left" vertical="top" wrapText="1"/>
    </xf>
    <xf numFmtId="2" fontId="20" fillId="4" borderId="1" xfId="0" applyNumberFormat="1" applyFont="1" applyFill="1" applyBorder="1" applyAlignment="1">
      <alignment horizont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32" xfId="0" applyFont="1" applyBorder="1" applyAlignment="1">
      <alignment horizontal="center"/>
    </xf>
    <xf numFmtId="164" fontId="18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left" shrinkToFit="1"/>
    </xf>
    <xf numFmtId="0" fontId="1" fillId="0" borderId="0" xfId="0" applyFont="1"/>
    <xf numFmtId="164" fontId="2" fillId="0" borderId="0" xfId="0" applyNumberFormat="1" applyFont="1" applyAlignment="1">
      <alignment horizontal="left" shrinkToFit="1"/>
    </xf>
    <xf numFmtId="164" fontId="2" fillId="0" borderId="0" xfId="0" applyNumberFormat="1" applyFont="1" applyAlignment="1">
      <alignment horizontal="center"/>
    </xf>
    <xf numFmtId="164" fontId="1" fillId="0" borderId="0" xfId="0" applyNumberFormat="1" applyFont="1" applyFill="1" applyAlignment="1">
      <alignment horizontal="center"/>
    </xf>
  </cellXfs>
  <cellStyles count="3">
    <cellStyle name="Обычный" xfId="0" builtinId="0"/>
    <cellStyle name="Обычный 10" xfId="2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33"/>
  </sheetPr>
  <dimension ref="A1:A23"/>
  <sheetViews>
    <sheetView workbookViewId="0">
      <selection sqref="A1:O1"/>
    </sheetView>
  </sheetViews>
  <sheetFormatPr defaultColWidth="9.109375" defaultRowHeight="16.8" x14ac:dyDescent="0.35"/>
  <cols>
    <col min="1" max="1" width="134.44140625" style="8" customWidth="1"/>
    <col min="2" max="16384" width="9.109375" style="8"/>
  </cols>
  <sheetData>
    <row r="1" spans="1:1" x14ac:dyDescent="0.35">
      <c r="A1" s="8" t="s">
        <v>39</v>
      </c>
    </row>
    <row r="2" spans="1:1" x14ac:dyDescent="0.35">
      <c r="A2" s="8" t="s">
        <v>40</v>
      </c>
    </row>
    <row r="3" spans="1:1" x14ac:dyDescent="0.35">
      <c r="A3" s="11" t="s">
        <v>59</v>
      </c>
    </row>
    <row r="4" spans="1:1" x14ac:dyDescent="0.35">
      <c r="A4" s="9" t="s">
        <v>41</v>
      </c>
    </row>
    <row r="5" spans="1:1" x14ac:dyDescent="0.35">
      <c r="A5" s="8" t="s">
        <v>42</v>
      </c>
    </row>
    <row r="6" spans="1:1" x14ac:dyDescent="0.35">
      <c r="A6" s="9" t="s">
        <v>49</v>
      </c>
    </row>
    <row r="7" spans="1:1" x14ac:dyDescent="0.35">
      <c r="A7" s="8" t="s">
        <v>50</v>
      </c>
    </row>
    <row r="8" spans="1:1" x14ac:dyDescent="0.35">
      <c r="A8" s="9" t="s">
        <v>58</v>
      </c>
    </row>
    <row r="9" spans="1:1" x14ac:dyDescent="0.35">
      <c r="A9" s="8" t="s">
        <v>46</v>
      </c>
    </row>
    <row r="10" spans="1:1" x14ac:dyDescent="0.35">
      <c r="A10" s="8" t="s">
        <v>45</v>
      </c>
    </row>
    <row r="11" spans="1:1" x14ac:dyDescent="0.35">
      <c r="A11" s="8" t="s">
        <v>47</v>
      </c>
    </row>
    <row r="12" spans="1:1" x14ac:dyDescent="0.35">
      <c r="A12" s="8" t="s">
        <v>56</v>
      </c>
    </row>
    <row r="13" spans="1:1" x14ac:dyDescent="0.35">
      <c r="A13" s="8" t="s">
        <v>43</v>
      </c>
    </row>
    <row r="14" spans="1:1" x14ac:dyDescent="0.35">
      <c r="A14" s="8" t="s">
        <v>44</v>
      </c>
    </row>
    <row r="15" spans="1:1" x14ac:dyDescent="0.35">
      <c r="A15" s="8" t="s">
        <v>57</v>
      </c>
    </row>
    <row r="16" spans="1:1" x14ac:dyDescent="0.35">
      <c r="A16" s="8" t="s">
        <v>48</v>
      </c>
    </row>
    <row r="17" spans="1:1" x14ac:dyDescent="0.35">
      <c r="A17" s="8" t="s">
        <v>51</v>
      </c>
    </row>
    <row r="18" spans="1:1" x14ac:dyDescent="0.35">
      <c r="A18" s="8" t="s">
        <v>52</v>
      </c>
    </row>
    <row r="19" spans="1:1" x14ac:dyDescent="0.35">
      <c r="A19" s="10" t="s">
        <v>55</v>
      </c>
    </row>
    <row r="20" spans="1:1" x14ac:dyDescent="0.35">
      <c r="A20" s="9" t="s">
        <v>53</v>
      </c>
    </row>
    <row r="21" spans="1:1" x14ac:dyDescent="0.35">
      <c r="A21" s="8" t="s">
        <v>54</v>
      </c>
    </row>
    <row r="22" spans="1:1" x14ac:dyDescent="0.35">
      <c r="A22" s="33" t="s">
        <v>81</v>
      </c>
    </row>
    <row r="23" spans="1:1" ht="33.6" x14ac:dyDescent="0.35">
      <c r="A23" s="32" t="s">
        <v>82</v>
      </c>
    </row>
  </sheetData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indexed="13"/>
  </sheetPr>
  <dimension ref="A1:M29"/>
  <sheetViews>
    <sheetView workbookViewId="0">
      <selection sqref="A1:O1"/>
    </sheetView>
  </sheetViews>
  <sheetFormatPr defaultRowHeight="15" x14ac:dyDescent="0.35"/>
  <cols>
    <col min="1" max="1" width="21.33203125" customWidth="1"/>
    <col min="2" max="2" width="6.6640625" customWidth="1"/>
  </cols>
  <sheetData>
    <row r="1" spans="1:4" x14ac:dyDescent="0.35">
      <c r="A1" s="30" t="s">
        <v>241</v>
      </c>
      <c r="B1" s="1" t="s">
        <v>102</v>
      </c>
      <c r="C1" s="24" t="s">
        <v>103</v>
      </c>
    </row>
    <row r="2" spans="1:4" x14ac:dyDescent="0.35">
      <c r="A2" s="1" t="s">
        <v>104</v>
      </c>
      <c r="B2" s="31">
        <v>0.40972222222222227</v>
      </c>
      <c r="C2" s="22" t="s">
        <v>68</v>
      </c>
    </row>
    <row r="3" spans="1:4" x14ac:dyDescent="0.35">
      <c r="A3" s="1" t="s">
        <v>105</v>
      </c>
      <c r="B3" s="31">
        <v>0.44791666666666669</v>
      </c>
      <c r="C3" s="26" t="s">
        <v>68</v>
      </c>
    </row>
    <row r="4" spans="1:4" x14ac:dyDescent="0.35">
      <c r="A4" s="1" t="s">
        <v>106</v>
      </c>
      <c r="B4" s="31">
        <v>0.70833333333333337</v>
      </c>
      <c r="C4" s="26" t="s">
        <v>68</v>
      </c>
    </row>
    <row r="5" spans="1:4" x14ac:dyDescent="0.35">
      <c r="A5" s="1" t="s">
        <v>107</v>
      </c>
      <c r="B5" s="31">
        <v>0.75347222222222221</v>
      </c>
      <c r="C5" s="23" t="s">
        <v>68</v>
      </c>
    </row>
    <row r="6" spans="1:4" x14ac:dyDescent="0.35">
      <c r="A6" s="30" t="s">
        <v>146</v>
      </c>
      <c r="B6" s="5"/>
      <c r="C6" s="23"/>
    </row>
    <row r="7" spans="1:4" x14ac:dyDescent="0.35">
      <c r="A7" s="1" t="s">
        <v>108</v>
      </c>
      <c r="B7" s="31">
        <v>0.41666666666666669</v>
      </c>
      <c r="C7" s="23" t="s">
        <v>68</v>
      </c>
    </row>
    <row r="8" spans="1:4" x14ac:dyDescent="0.35">
      <c r="A8" s="1" t="s">
        <v>121</v>
      </c>
      <c r="B8" s="31">
        <v>0.48958333333333331</v>
      </c>
      <c r="C8" s="22" t="s">
        <v>68</v>
      </c>
    </row>
    <row r="9" spans="1:4" x14ac:dyDescent="0.35">
      <c r="A9" s="1" t="s">
        <v>110</v>
      </c>
      <c r="B9" s="31">
        <v>0.75694444444444453</v>
      </c>
      <c r="C9" s="23" t="s">
        <v>68</v>
      </c>
      <c r="D9" s="23"/>
    </row>
    <row r="10" spans="1:4" x14ac:dyDescent="0.35">
      <c r="A10" s="1"/>
      <c r="B10" s="27"/>
      <c r="C10" s="23"/>
    </row>
    <row r="11" spans="1:4" x14ac:dyDescent="0.35">
      <c r="C11" s="23"/>
    </row>
    <row r="12" spans="1:4" x14ac:dyDescent="0.35">
      <c r="C12" s="23"/>
    </row>
    <row r="13" spans="1:4" ht="15.6" thickBot="1" x14ac:dyDescent="0.4">
      <c r="A13" s="25"/>
      <c r="B13" s="35" t="s">
        <v>100</v>
      </c>
      <c r="C13" s="22" t="s">
        <v>101</v>
      </c>
    </row>
    <row r="14" spans="1:4" x14ac:dyDescent="0.35">
      <c r="A14" s="2" t="s">
        <v>13</v>
      </c>
      <c r="B14" s="14">
        <v>7291</v>
      </c>
      <c r="C14" s="14">
        <v>7001</v>
      </c>
    </row>
    <row r="15" spans="1:4" x14ac:dyDescent="0.35">
      <c r="A15" s="3" t="s">
        <v>14</v>
      </c>
      <c r="B15" s="15">
        <v>7032</v>
      </c>
      <c r="C15" s="15">
        <v>7001</v>
      </c>
    </row>
    <row r="16" spans="1:4" ht="15.6" thickBot="1" x14ac:dyDescent="0.4">
      <c r="A16" s="4" t="s">
        <v>15</v>
      </c>
      <c r="B16" s="16">
        <v>7007</v>
      </c>
      <c r="C16" s="16">
        <v>6765</v>
      </c>
    </row>
    <row r="17" spans="1:13" x14ac:dyDescent="0.35">
      <c r="A17" s="20"/>
      <c r="B17" s="21"/>
    </row>
    <row r="18" spans="1:13" x14ac:dyDescent="0.35">
      <c r="A18" s="20"/>
      <c r="B18" s="21"/>
    </row>
    <row r="19" spans="1:13" x14ac:dyDescent="0.35">
      <c r="A19" s="20"/>
      <c r="B19" s="21"/>
    </row>
    <row r="20" spans="1:13" x14ac:dyDescent="0.35">
      <c r="A20" s="20"/>
      <c r="B20" s="21"/>
    </row>
    <row r="21" spans="1:13" x14ac:dyDescent="0.35">
      <c r="A21" s="18" t="s">
        <v>80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35">
      <c r="A22" s="18" t="s">
        <v>10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35">
      <c r="A23" s="18" t="s">
        <v>68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ht="15" customHeight="1" x14ac:dyDescent="0.35">
      <c r="A24" s="7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3" x14ac:dyDescent="0.35">
      <c r="A25" s="18" t="s">
        <v>169</v>
      </c>
    </row>
    <row r="26" spans="1:13" x14ac:dyDescent="0.35">
      <c r="A26" s="7" t="s">
        <v>98</v>
      </c>
    </row>
    <row r="27" spans="1:13" x14ac:dyDescent="0.35">
      <c r="A27" s="7" t="s">
        <v>147</v>
      </c>
    </row>
    <row r="28" spans="1:13" x14ac:dyDescent="0.35">
      <c r="A28" s="7"/>
      <c r="C28" s="26"/>
    </row>
    <row r="29" spans="1:13" x14ac:dyDescent="0.35">
      <c r="A29" s="7" t="s">
        <v>147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indexed="34"/>
  </sheetPr>
  <dimension ref="A1:O33"/>
  <sheetViews>
    <sheetView zoomScale="80" zoomScaleNormal="80" workbookViewId="0">
      <selection sqref="A1:O1"/>
    </sheetView>
  </sheetViews>
  <sheetFormatPr defaultColWidth="34.109375" defaultRowHeight="13.2" x14ac:dyDescent="0.25"/>
  <cols>
    <col min="1" max="1" width="7" style="89" customWidth="1"/>
    <col min="2" max="2" width="25.5546875" style="60" bestFit="1" customWidth="1"/>
    <col min="3" max="3" width="11.77734375" style="60" customWidth="1"/>
    <col min="4" max="4" width="7.88671875" style="60" bestFit="1" customWidth="1"/>
    <col min="5" max="5" width="23.109375" style="60" customWidth="1"/>
    <col min="6" max="6" width="5.5546875" style="60" customWidth="1"/>
    <col min="7" max="7" width="32.44140625" style="60" bestFit="1" customWidth="1"/>
    <col min="8" max="8" width="11.109375" style="60" customWidth="1"/>
    <col min="9" max="9" width="16.88671875" style="60" customWidth="1"/>
    <col min="10" max="10" width="3.44140625" style="60" customWidth="1"/>
    <col min="11" max="11" width="34.109375" style="60" customWidth="1"/>
    <col min="12" max="12" width="25.6640625" style="60" bestFit="1" customWidth="1"/>
    <col min="13" max="13" width="15" style="60" customWidth="1"/>
    <col min="14" max="14" width="15.44140625" style="60" customWidth="1"/>
    <col min="15" max="15" width="19" style="60" customWidth="1"/>
    <col min="16" max="16384" width="34.109375" style="60"/>
  </cols>
  <sheetData>
    <row r="1" spans="1:15" s="187" customFormat="1" ht="39.6" x14ac:dyDescent="0.25">
      <c r="A1" s="304" t="s">
        <v>6</v>
      </c>
      <c r="B1" s="305" t="s">
        <v>4</v>
      </c>
      <c r="C1" s="305" t="s">
        <v>5</v>
      </c>
      <c r="D1" s="305" t="s">
        <v>0</v>
      </c>
      <c r="E1" s="305" t="s">
        <v>8</v>
      </c>
      <c r="F1" s="305" t="s">
        <v>1</v>
      </c>
      <c r="G1" s="305"/>
      <c r="H1" s="305" t="s">
        <v>3</v>
      </c>
      <c r="I1" s="305" t="s">
        <v>9</v>
      </c>
      <c r="J1" s="305" t="s">
        <v>7</v>
      </c>
      <c r="K1" s="305" t="s">
        <v>2</v>
      </c>
      <c r="L1" s="299" t="s">
        <v>2</v>
      </c>
    </row>
    <row r="2" spans="1:15" s="297" customFormat="1" ht="43.2" x14ac:dyDescent="0.25">
      <c r="A2" s="52">
        <v>10</v>
      </c>
      <c r="B2" s="412" t="s">
        <v>140</v>
      </c>
      <c r="C2" s="412" t="s">
        <v>141</v>
      </c>
      <c r="D2" s="413" t="s">
        <v>62</v>
      </c>
      <c r="E2" s="414" t="s">
        <v>170</v>
      </c>
      <c r="F2" s="412" t="s">
        <v>171</v>
      </c>
      <c r="G2" s="414" t="s">
        <v>172</v>
      </c>
      <c r="H2" s="412" t="s">
        <v>173</v>
      </c>
      <c r="I2" s="413" t="s">
        <v>62</v>
      </c>
      <c r="J2" s="412" t="s">
        <v>136</v>
      </c>
      <c r="K2" s="414" t="s">
        <v>144</v>
      </c>
      <c r="L2" s="81"/>
      <c r="M2" s="60"/>
      <c r="N2" s="60"/>
      <c r="O2" s="60"/>
    </row>
    <row r="3" spans="1:15" s="322" customFormat="1" ht="28.8" x14ac:dyDescent="0.25">
      <c r="A3" s="52">
        <v>9</v>
      </c>
      <c r="B3" s="412" t="s">
        <v>142</v>
      </c>
      <c r="C3" s="412" t="s">
        <v>143</v>
      </c>
      <c r="D3" s="413" t="s">
        <v>61</v>
      </c>
      <c r="E3" s="414" t="s">
        <v>175</v>
      </c>
      <c r="F3" s="412" t="s">
        <v>171</v>
      </c>
      <c r="G3" s="414" t="s">
        <v>176</v>
      </c>
      <c r="H3" s="412" t="s">
        <v>173</v>
      </c>
      <c r="I3" s="413" t="s">
        <v>61</v>
      </c>
      <c r="J3" s="412" t="s">
        <v>136</v>
      </c>
      <c r="K3" s="414" t="s">
        <v>145</v>
      </c>
      <c r="L3" s="411" t="s">
        <v>174</v>
      </c>
      <c r="M3" s="406"/>
      <c r="N3" s="405"/>
      <c r="O3" s="405"/>
    </row>
    <row r="4" spans="1:15" ht="28.8" x14ac:dyDescent="0.25">
      <c r="A4" s="52">
        <v>12</v>
      </c>
      <c r="B4" s="412" t="s">
        <v>134</v>
      </c>
      <c r="C4" s="412" t="s">
        <v>131</v>
      </c>
      <c r="D4" s="413" t="s">
        <v>61</v>
      </c>
      <c r="E4" s="414" t="s">
        <v>177</v>
      </c>
      <c r="F4" s="412" t="s">
        <v>171</v>
      </c>
      <c r="G4" s="414" t="s">
        <v>178</v>
      </c>
      <c r="H4" s="412" t="s">
        <v>173</v>
      </c>
      <c r="I4" s="413" t="s">
        <v>61</v>
      </c>
      <c r="J4" s="412" t="s">
        <v>136</v>
      </c>
      <c r="K4" s="414" t="s">
        <v>138</v>
      </c>
      <c r="L4" s="411" t="s">
        <v>174</v>
      </c>
      <c r="M4" s="406"/>
      <c r="N4" s="405"/>
      <c r="O4" s="405"/>
    </row>
    <row r="5" spans="1:15" ht="14.4" x14ac:dyDescent="0.25">
      <c r="A5" s="52">
        <v>25</v>
      </c>
      <c r="B5" s="412" t="s">
        <v>179</v>
      </c>
      <c r="C5" s="412" t="s">
        <v>180</v>
      </c>
      <c r="D5" s="413" t="s">
        <v>62</v>
      </c>
      <c r="E5" s="414" t="s">
        <v>182</v>
      </c>
      <c r="F5" s="412" t="s">
        <v>171</v>
      </c>
      <c r="G5" s="414" t="s">
        <v>183</v>
      </c>
      <c r="H5" s="412" t="s">
        <v>173</v>
      </c>
      <c r="I5" s="413" t="s">
        <v>62</v>
      </c>
      <c r="J5" s="412" t="s">
        <v>181</v>
      </c>
      <c r="K5" s="414" t="s">
        <v>184</v>
      </c>
      <c r="L5" s="411" t="s">
        <v>174</v>
      </c>
      <c r="M5" s="406"/>
      <c r="N5" s="405"/>
      <c r="O5" s="405"/>
    </row>
    <row r="6" spans="1:15" ht="28.8" x14ac:dyDescent="0.25">
      <c r="A6" s="52">
        <v>23</v>
      </c>
      <c r="B6" s="412" t="s">
        <v>185</v>
      </c>
      <c r="C6" s="412" t="s">
        <v>186</v>
      </c>
      <c r="D6" s="413" t="s">
        <v>62</v>
      </c>
      <c r="E6" s="414" t="s">
        <v>188</v>
      </c>
      <c r="F6" s="412" t="s">
        <v>171</v>
      </c>
      <c r="G6" s="414" t="s">
        <v>189</v>
      </c>
      <c r="H6" s="412" t="s">
        <v>173</v>
      </c>
      <c r="I6" s="413" t="s">
        <v>62</v>
      </c>
      <c r="J6" s="412" t="s">
        <v>187</v>
      </c>
      <c r="K6" s="414" t="s">
        <v>190</v>
      </c>
      <c r="L6" s="411" t="s">
        <v>174</v>
      </c>
      <c r="M6" s="406"/>
      <c r="N6" s="405"/>
      <c r="O6" s="405"/>
    </row>
    <row r="7" spans="1:15" ht="28.8" x14ac:dyDescent="0.25">
      <c r="A7" s="52">
        <v>8</v>
      </c>
      <c r="B7" s="412" t="s">
        <v>133</v>
      </c>
      <c r="C7" s="412" t="s">
        <v>130</v>
      </c>
      <c r="D7" s="413" t="s">
        <v>63</v>
      </c>
      <c r="E7" s="414" t="s">
        <v>192</v>
      </c>
      <c r="F7" s="412" t="s">
        <v>171</v>
      </c>
      <c r="G7" s="414" t="s">
        <v>193</v>
      </c>
      <c r="H7" s="412" t="s">
        <v>173</v>
      </c>
      <c r="I7" s="413" t="s">
        <v>63</v>
      </c>
      <c r="J7" s="412" t="s">
        <v>191</v>
      </c>
      <c r="K7" s="414" t="s">
        <v>137</v>
      </c>
      <c r="L7" s="411" t="s">
        <v>174</v>
      </c>
      <c r="M7" s="406"/>
      <c r="N7" s="405"/>
      <c r="O7" s="405"/>
    </row>
    <row r="8" spans="1:15" ht="28.8" x14ac:dyDescent="0.25">
      <c r="A8" s="52">
        <v>55</v>
      </c>
      <c r="B8" s="412" t="s">
        <v>194</v>
      </c>
      <c r="C8" s="412" t="s">
        <v>195</v>
      </c>
      <c r="D8" s="413" t="s">
        <v>61</v>
      </c>
      <c r="E8" s="414" t="s">
        <v>197</v>
      </c>
      <c r="F8" s="412" t="s">
        <v>171</v>
      </c>
      <c r="G8" s="414" t="s">
        <v>198</v>
      </c>
      <c r="H8" s="412" t="s">
        <v>173</v>
      </c>
      <c r="I8" s="413" t="s">
        <v>61</v>
      </c>
      <c r="J8" s="412" t="s">
        <v>196</v>
      </c>
      <c r="K8" s="414" t="s">
        <v>199</v>
      </c>
      <c r="L8" s="415" t="s">
        <v>174</v>
      </c>
      <c r="M8" s="416"/>
      <c r="N8" s="417"/>
      <c r="O8" s="417"/>
    </row>
    <row r="9" spans="1:15" ht="28.8" x14ac:dyDescent="0.25">
      <c r="A9" s="52">
        <v>54</v>
      </c>
      <c r="B9" s="412" t="s">
        <v>200</v>
      </c>
      <c r="C9" s="412" t="s">
        <v>201</v>
      </c>
      <c r="D9" s="413" t="s">
        <v>202</v>
      </c>
      <c r="E9" s="414" t="s">
        <v>197</v>
      </c>
      <c r="F9" s="412" t="s">
        <v>171</v>
      </c>
      <c r="G9" s="414" t="s">
        <v>203</v>
      </c>
      <c r="H9" s="412" t="s">
        <v>173</v>
      </c>
      <c r="I9" s="413" t="s">
        <v>202</v>
      </c>
      <c r="J9" s="412" t="s">
        <v>196</v>
      </c>
      <c r="K9" s="414" t="s">
        <v>204</v>
      </c>
      <c r="L9" s="415" t="s">
        <v>174</v>
      </c>
      <c r="M9" s="416"/>
      <c r="N9" s="417"/>
      <c r="O9" s="417"/>
    </row>
    <row r="10" spans="1:15" ht="28.8" x14ac:dyDescent="0.25">
      <c r="A10" s="52">
        <v>61</v>
      </c>
      <c r="B10" s="412" t="s">
        <v>205</v>
      </c>
      <c r="C10" s="412" t="s">
        <v>206</v>
      </c>
      <c r="D10" s="413" t="s">
        <v>62</v>
      </c>
      <c r="E10" s="414" t="s">
        <v>197</v>
      </c>
      <c r="F10" s="412" t="s">
        <v>171</v>
      </c>
      <c r="G10" s="414" t="s">
        <v>207</v>
      </c>
      <c r="H10" s="412" t="s">
        <v>173</v>
      </c>
      <c r="I10" s="413" t="s">
        <v>62</v>
      </c>
      <c r="J10" s="412" t="s">
        <v>196</v>
      </c>
      <c r="K10" s="414" t="s">
        <v>208</v>
      </c>
      <c r="L10" s="415" t="s">
        <v>174</v>
      </c>
      <c r="M10" s="416"/>
      <c r="N10" s="417"/>
      <c r="O10" s="417"/>
    </row>
    <row r="11" spans="1:15" ht="72" x14ac:dyDescent="0.25">
      <c r="A11" s="52">
        <v>56</v>
      </c>
      <c r="B11" s="412" t="s">
        <v>209</v>
      </c>
      <c r="C11" s="412" t="s">
        <v>210</v>
      </c>
      <c r="D11" s="413" t="s">
        <v>62</v>
      </c>
      <c r="E11" s="414" t="s">
        <v>197</v>
      </c>
      <c r="F11" s="412" t="s">
        <v>171</v>
      </c>
      <c r="G11" s="414" t="s">
        <v>211</v>
      </c>
      <c r="H11" s="412" t="s">
        <v>173</v>
      </c>
      <c r="I11" s="413" t="s">
        <v>62</v>
      </c>
      <c r="J11" s="412" t="s">
        <v>196</v>
      </c>
      <c r="K11" s="414" t="s">
        <v>212</v>
      </c>
      <c r="L11" s="415" t="s">
        <v>174</v>
      </c>
      <c r="M11" s="416"/>
      <c r="N11" s="417"/>
      <c r="O11" s="417"/>
    </row>
    <row r="12" spans="1:15" ht="14.4" x14ac:dyDescent="0.25">
      <c r="A12" s="52">
        <v>64</v>
      </c>
      <c r="B12" s="412" t="s">
        <v>213</v>
      </c>
      <c r="C12" s="412" t="s">
        <v>214</v>
      </c>
      <c r="D12" s="413" t="s">
        <v>62</v>
      </c>
      <c r="E12" s="414" t="s">
        <v>215</v>
      </c>
      <c r="F12" s="412" t="s">
        <v>171</v>
      </c>
      <c r="G12" s="414" t="s">
        <v>216</v>
      </c>
      <c r="H12" s="412" t="s">
        <v>173</v>
      </c>
      <c r="I12" s="413" t="s">
        <v>62</v>
      </c>
      <c r="J12" s="412" t="s">
        <v>135</v>
      </c>
      <c r="K12" s="414" t="s">
        <v>138</v>
      </c>
      <c r="L12" s="415"/>
      <c r="M12" s="416"/>
      <c r="N12" s="417"/>
      <c r="O12" s="417"/>
    </row>
    <row r="13" spans="1:15" ht="14.4" x14ac:dyDescent="0.25">
      <c r="A13" s="102">
        <v>66</v>
      </c>
      <c r="B13" s="412" t="s">
        <v>217</v>
      </c>
      <c r="C13" s="412" t="s">
        <v>132</v>
      </c>
      <c r="D13" s="413" t="s">
        <v>62</v>
      </c>
      <c r="E13" s="414" t="s">
        <v>215</v>
      </c>
      <c r="F13" s="412" t="s">
        <v>171</v>
      </c>
      <c r="G13" s="414" t="s">
        <v>218</v>
      </c>
      <c r="H13" s="412" t="s">
        <v>173</v>
      </c>
      <c r="I13" s="413" t="s">
        <v>62</v>
      </c>
      <c r="J13" s="412" t="s">
        <v>135</v>
      </c>
      <c r="K13" s="414" t="s">
        <v>139</v>
      </c>
      <c r="L13" s="415"/>
      <c r="M13" s="416"/>
      <c r="N13" s="417"/>
      <c r="O13" s="417"/>
    </row>
    <row r="14" spans="1:15" ht="14.4" x14ac:dyDescent="0.25">
      <c r="A14" s="52">
        <v>65</v>
      </c>
      <c r="B14" s="412" t="s">
        <v>219</v>
      </c>
      <c r="C14" s="412" t="s">
        <v>220</v>
      </c>
      <c r="D14" s="413" t="s">
        <v>62</v>
      </c>
      <c r="E14" s="414" t="s">
        <v>215</v>
      </c>
      <c r="F14" s="412" t="s">
        <v>171</v>
      </c>
      <c r="G14" s="414" t="s">
        <v>221</v>
      </c>
      <c r="H14" s="412" t="s">
        <v>173</v>
      </c>
      <c r="I14" s="413" t="s">
        <v>62</v>
      </c>
      <c r="J14" s="412" t="s">
        <v>135</v>
      </c>
      <c r="K14" s="414" t="s">
        <v>222</v>
      </c>
      <c r="L14" s="415"/>
      <c r="M14" s="416"/>
      <c r="N14" s="417"/>
      <c r="O14" s="417"/>
    </row>
    <row r="15" spans="1:15" ht="43.2" x14ac:dyDescent="0.25">
      <c r="A15" s="52">
        <v>69</v>
      </c>
      <c r="B15" s="412" t="s">
        <v>223</v>
      </c>
      <c r="C15" s="412" t="s">
        <v>224</v>
      </c>
      <c r="D15" s="413" t="s">
        <v>61</v>
      </c>
      <c r="E15" s="414" t="s">
        <v>226</v>
      </c>
      <c r="F15" s="412" t="s">
        <v>171</v>
      </c>
      <c r="G15" s="414" t="s">
        <v>227</v>
      </c>
      <c r="H15" s="412" t="s">
        <v>173</v>
      </c>
      <c r="I15" s="413" t="s">
        <v>61</v>
      </c>
      <c r="J15" s="412" t="s">
        <v>225</v>
      </c>
      <c r="K15" s="414" t="s">
        <v>228</v>
      </c>
      <c r="L15" s="415" t="s">
        <v>174</v>
      </c>
      <c r="M15" s="416"/>
      <c r="N15" s="417"/>
      <c r="O15" s="417"/>
    </row>
    <row r="16" spans="1:15" ht="28.8" x14ac:dyDescent="0.25">
      <c r="A16" s="102">
        <v>117</v>
      </c>
      <c r="B16" s="420" t="s">
        <v>229</v>
      </c>
      <c r="C16" s="420" t="s">
        <v>230</v>
      </c>
      <c r="D16" s="421" t="s">
        <v>62</v>
      </c>
      <c r="E16" s="422" t="s">
        <v>232</v>
      </c>
      <c r="F16" s="420" t="s">
        <v>171</v>
      </c>
      <c r="G16" s="422" t="s">
        <v>233</v>
      </c>
      <c r="H16" s="420" t="s">
        <v>173</v>
      </c>
      <c r="I16" s="421" t="s">
        <v>62</v>
      </c>
      <c r="J16" s="420" t="s">
        <v>231</v>
      </c>
      <c r="K16" s="422" t="s">
        <v>234</v>
      </c>
      <c r="L16" s="419" t="s">
        <v>174</v>
      </c>
      <c r="M16" s="405"/>
      <c r="N16" s="405"/>
      <c r="O16" s="405"/>
    </row>
    <row r="17" spans="1:15" ht="14.4" x14ac:dyDescent="0.25">
      <c r="A17" s="52">
        <v>109</v>
      </c>
      <c r="B17" s="420" t="s">
        <v>235</v>
      </c>
      <c r="C17" s="420" t="s">
        <v>236</v>
      </c>
      <c r="D17" s="421" t="s">
        <v>62</v>
      </c>
      <c r="E17" s="422" t="s">
        <v>238</v>
      </c>
      <c r="F17" s="420" t="s">
        <v>171</v>
      </c>
      <c r="G17" s="422" t="s">
        <v>239</v>
      </c>
      <c r="H17" s="420" t="s">
        <v>173</v>
      </c>
      <c r="I17" s="421" t="s">
        <v>62</v>
      </c>
      <c r="J17" s="420" t="s">
        <v>237</v>
      </c>
      <c r="K17" s="426" t="s">
        <v>240</v>
      </c>
      <c r="L17" s="427"/>
      <c r="M17" s="417"/>
      <c r="N17" s="417"/>
      <c r="O17" s="428"/>
    </row>
    <row r="18" spans="1:15" ht="15.6" x14ac:dyDescent="0.25">
      <c r="A18" s="324"/>
      <c r="B18" s="407"/>
      <c r="C18" s="408"/>
      <c r="D18" s="408"/>
      <c r="E18" s="409"/>
      <c r="F18" s="86"/>
      <c r="G18" s="409"/>
      <c r="H18" s="410"/>
      <c r="I18" s="410"/>
      <c r="J18" s="244"/>
      <c r="K18" s="409"/>
    </row>
    <row r="19" spans="1:15" ht="13.8" x14ac:dyDescent="0.25">
      <c r="A19" s="102"/>
      <c r="B19" s="301"/>
      <c r="C19" s="301"/>
      <c r="D19" s="302"/>
      <c r="E19" s="302"/>
      <c r="F19" s="296"/>
      <c r="G19" s="301"/>
      <c r="H19" s="81"/>
      <c r="I19" s="81"/>
      <c r="K19" s="303"/>
    </row>
    <row r="20" spans="1:15" x14ac:dyDescent="0.25">
      <c r="A20" s="52"/>
      <c r="B20" s="74"/>
      <c r="C20" s="74"/>
      <c r="D20" s="74"/>
      <c r="F20" s="296"/>
      <c r="H20" s="81"/>
      <c r="I20" s="81"/>
      <c r="K20" s="298"/>
    </row>
    <row r="21" spans="1:15" x14ac:dyDescent="0.25">
      <c r="A21" s="52"/>
      <c r="B21" s="74"/>
      <c r="C21" s="74"/>
      <c r="F21" s="296"/>
      <c r="H21" s="81"/>
      <c r="I21" s="81"/>
      <c r="K21" s="298"/>
    </row>
    <row r="22" spans="1:15" x14ac:dyDescent="0.25">
      <c r="A22" s="52"/>
      <c r="B22" s="74"/>
      <c r="C22" s="74"/>
      <c r="D22" s="74"/>
      <c r="F22" s="296"/>
      <c r="H22" s="81"/>
      <c r="I22" s="81"/>
      <c r="K22" s="300"/>
    </row>
    <row r="23" spans="1:15" x14ac:dyDescent="0.25">
      <c r="A23" s="404"/>
      <c r="C23" s="74"/>
      <c r="D23" s="74"/>
      <c r="F23" s="296"/>
      <c r="G23" s="74"/>
      <c r="H23" s="81"/>
      <c r="I23" s="81"/>
      <c r="K23" s="298"/>
    </row>
    <row r="24" spans="1:15" x14ac:dyDescent="0.25">
      <c r="A24" s="52"/>
      <c r="C24" s="74"/>
      <c r="D24" s="74"/>
      <c r="F24" s="296"/>
      <c r="H24" s="81"/>
      <c r="I24" s="81"/>
      <c r="K24" s="298"/>
    </row>
    <row r="25" spans="1:15" x14ac:dyDescent="0.25">
      <c r="A25" s="102"/>
    </row>
    <row r="26" spans="1:15" ht="13.8" x14ac:dyDescent="0.25">
      <c r="A26" s="34"/>
    </row>
    <row r="27" spans="1:15" x14ac:dyDescent="0.25">
      <c r="A27" s="52"/>
    </row>
    <row r="28" spans="1:15" x14ac:dyDescent="0.25">
      <c r="A28" s="102"/>
    </row>
    <row r="29" spans="1:15" x14ac:dyDescent="0.25">
      <c r="A29" s="102"/>
    </row>
    <row r="30" spans="1:15" x14ac:dyDescent="0.25">
      <c r="A30" s="52"/>
    </row>
    <row r="31" spans="1:15" x14ac:dyDescent="0.25">
      <c r="A31" s="102"/>
    </row>
    <row r="32" spans="1:15" x14ac:dyDescent="0.25">
      <c r="A32" s="52"/>
    </row>
    <row r="33" spans="1:1" x14ac:dyDescent="0.25">
      <c r="A33" s="102"/>
    </row>
  </sheetData>
  <sortState ref="A2:O33">
    <sortCondition ref="B2:B33"/>
  </sortState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H183"/>
  <sheetViews>
    <sheetView view="pageBreakPreview" topLeftCell="A2" zoomScale="70" zoomScaleSheetLayoutView="70" workbookViewId="0">
      <selection sqref="A1:O1"/>
    </sheetView>
  </sheetViews>
  <sheetFormatPr defaultColWidth="9.109375" defaultRowHeight="13.2" outlineLevelRow="1" outlineLevelCol="1" x14ac:dyDescent="0.25"/>
  <cols>
    <col min="1" max="1" width="4.77734375" style="206" customWidth="1"/>
    <col min="2" max="2" width="9.109375" style="207" customWidth="1"/>
    <col min="3" max="3" width="22.77734375" style="206" customWidth="1"/>
    <col min="4" max="4" width="10" style="60" customWidth="1"/>
    <col min="5" max="5" width="6.88671875" style="206" customWidth="1"/>
    <col min="6" max="6" width="8" style="206" customWidth="1"/>
    <col min="7" max="7" width="6.5546875" style="207" customWidth="1"/>
    <col min="8" max="8" width="6.5546875" style="206" customWidth="1"/>
    <col min="9" max="9" width="5.88671875" style="207" customWidth="1"/>
    <col min="10" max="10" width="6.5546875" style="207" customWidth="1" outlineLevel="1"/>
    <col min="11" max="11" width="6.5546875" style="38" customWidth="1" outlineLevel="1"/>
    <col min="12" max="12" width="7.44140625" style="38" customWidth="1" outlineLevel="1"/>
    <col min="13" max="14" width="5.33203125" style="38" customWidth="1"/>
    <col min="15" max="15" width="8.109375" style="206" customWidth="1" outlineLevel="1"/>
    <col min="16" max="16" width="7.33203125" style="206" bestFit="1" customWidth="1" outlineLevel="1"/>
    <col min="17" max="17" width="6.6640625" style="206" bestFit="1" customWidth="1" outlineLevel="1"/>
    <col min="18" max="18" width="3.33203125" style="206" bestFit="1" customWidth="1" outlineLevel="1"/>
    <col min="19" max="19" width="5.44140625" style="206" bestFit="1" customWidth="1" outlineLevel="1"/>
    <col min="20" max="20" width="6.109375" style="206" customWidth="1" outlineLevel="1"/>
    <col min="21" max="21" width="6" style="206" customWidth="1" outlineLevel="1"/>
    <col min="22" max="22" width="7.44140625" style="206" customWidth="1" outlineLevel="1"/>
    <col min="23" max="24" width="5.109375" style="206" customWidth="1" outlineLevel="1"/>
    <col min="25" max="25" width="6.33203125" style="206" bestFit="1" customWidth="1"/>
    <col min="26" max="26" width="5.44140625" style="207" bestFit="1" customWidth="1"/>
    <col min="27" max="27" width="6.33203125" style="207" customWidth="1"/>
    <col min="28" max="28" width="5.44140625" style="206" bestFit="1" customWidth="1"/>
    <col min="29" max="29" width="6.5546875" style="207" bestFit="1" customWidth="1"/>
    <col min="30" max="30" width="6.5546875" style="206" bestFit="1" customWidth="1"/>
    <col min="31" max="31" width="4.6640625" style="206" bestFit="1" customWidth="1"/>
    <col min="32" max="32" width="4.88671875" style="206" bestFit="1" customWidth="1"/>
    <col min="33" max="33" width="5.109375" style="206" bestFit="1" customWidth="1"/>
    <col min="34" max="36" width="3.109375" style="206" bestFit="1" customWidth="1"/>
    <col min="37" max="16384" width="9.109375" style="206"/>
  </cols>
  <sheetData>
    <row r="1" spans="1:34" ht="13.2" customHeight="1" x14ac:dyDescent="0.25">
      <c r="A1" s="432" t="str">
        <f>Расп!$A$21</f>
        <v>МИНИСТЕРСТВО СПОРТА РОССИЙСКОЙ ФЕДЕРАЦИИ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278"/>
      <c r="Q1" s="60" t="s">
        <v>29</v>
      </c>
      <c r="R1" s="208">
        <v>0</v>
      </c>
      <c r="S1" s="208"/>
      <c r="T1" s="208">
        <v>1600</v>
      </c>
      <c r="U1" s="208">
        <v>2000</v>
      </c>
      <c r="V1" s="208">
        <v>2700</v>
      </c>
      <c r="W1" s="208">
        <v>3300</v>
      </c>
      <c r="X1" s="208">
        <v>3900</v>
      </c>
      <c r="Y1" s="209">
        <v>4500</v>
      </c>
      <c r="Z1" s="89">
        <v>5250</v>
      </c>
      <c r="AA1" s="89">
        <v>6150</v>
      </c>
      <c r="AB1" s="89"/>
      <c r="AC1" s="210" t="s">
        <v>89</v>
      </c>
      <c r="AD1" s="211" t="s">
        <v>90</v>
      </c>
      <c r="AE1" s="210">
        <v>4000</v>
      </c>
      <c r="AF1" s="89"/>
      <c r="AG1" s="89"/>
    </row>
    <row r="2" spans="1:34" ht="13.2" customHeight="1" x14ac:dyDescent="0.25">
      <c r="A2" s="432" t="str">
        <f>Расп!$A$22</f>
        <v>ВСЕРОССИЙСКАЯ ФЕДЕРАЦИЯ ЛЕГКОЙ АТЛЕТИКИ</v>
      </c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278"/>
      <c r="Q2" s="60" t="s">
        <v>0</v>
      </c>
      <c r="R2" s="212" t="s">
        <v>66</v>
      </c>
      <c r="S2" s="89" t="s">
        <v>73</v>
      </c>
      <c r="T2" s="89" t="s">
        <v>74</v>
      </c>
      <c r="U2" s="89" t="s">
        <v>75</v>
      </c>
      <c r="V2" s="213">
        <v>3</v>
      </c>
      <c r="W2" s="208">
        <v>2</v>
      </c>
      <c r="X2" s="208">
        <v>1</v>
      </c>
      <c r="Y2" s="209" t="s">
        <v>62</v>
      </c>
      <c r="Z2" s="89" t="s">
        <v>61</v>
      </c>
      <c r="AA2" s="89" t="s">
        <v>63</v>
      </c>
      <c r="AB2" s="89"/>
      <c r="AC2" s="206"/>
      <c r="AF2" s="89"/>
      <c r="AG2" s="89"/>
    </row>
    <row r="3" spans="1:34" ht="13.2" customHeight="1" x14ac:dyDescent="0.25">
      <c r="A3" s="432" t="str">
        <f>Расп!$A$25</f>
        <v>Командный чемпионат России</v>
      </c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278"/>
      <c r="Q3" s="60"/>
      <c r="R3" s="89"/>
      <c r="S3" s="89"/>
      <c r="T3" s="89"/>
      <c r="U3" s="89"/>
      <c r="W3" s="89"/>
      <c r="X3" s="89"/>
      <c r="Y3" s="214" t="s">
        <v>83</v>
      </c>
      <c r="Z3" s="89"/>
      <c r="AA3" s="89"/>
      <c r="AB3" s="89"/>
      <c r="AC3" s="89"/>
      <c r="AD3" s="89"/>
      <c r="AE3" s="89"/>
      <c r="AF3" s="89"/>
      <c r="AG3" s="89"/>
    </row>
    <row r="4" spans="1:34" ht="13.2" customHeight="1" x14ac:dyDescent="0.25">
      <c r="A4" s="432" t="str">
        <f>Расп!$A$27</f>
        <v>по многоборью</v>
      </c>
      <c r="B4" s="432"/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278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34" ht="13.2" customHeight="1" x14ac:dyDescent="0.3">
      <c r="A5" s="433" t="s">
        <v>118</v>
      </c>
      <c r="B5" s="433"/>
      <c r="C5" s="433"/>
      <c r="D5" s="433"/>
      <c r="E5" s="433"/>
      <c r="F5" s="433"/>
      <c r="G5" s="433"/>
      <c r="H5" s="433"/>
      <c r="I5" s="433"/>
      <c r="J5" s="433"/>
      <c r="K5" s="433"/>
      <c r="L5" s="433"/>
      <c r="M5" s="433"/>
      <c r="N5" s="433"/>
      <c r="O5" s="433"/>
      <c r="P5" s="279"/>
      <c r="Q5" s="60" t="s">
        <v>60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206">
        <v>17</v>
      </c>
    </row>
    <row r="6" spans="1:34" ht="13.2" customHeight="1" x14ac:dyDescent="0.3">
      <c r="A6" s="433" t="s">
        <v>11</v>
      </c>
      <c r="B6" s="433"/>
      <c r="C6" s="433"/>
      <c r="D6" s="433"/>
      <c r="E6" s="433"/>
      <c r="F6" s="433"/>
      <c r="G6" s="433"/>
      <c r="H6" s="433"/>
      <c r="I6" s="433"/>
      <c r="J6" s="433"/>
      <c r="K6" s="433"/>
      <c r="L6" s="433"/>
      <c r="M6" s="433"/>
      <c r="N6" s="433"/>
      <c r="O6" s="433"/>
      <c r="P6" s="279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206">
        <v>0</v>
      </c>
    </row>
    <row r="7" spans="1:34" ht="13.2" hidden="1" customHeight="1" x14ac:dyDescent="0.25">
      <c r="C7" s="207"/>
      <c r="E7" s="36"/>
      <c r="F7" s="89"/>
      <c r="G7" s="181"/>
      <c r="H7" s="89"/>
      <c r="I7" s="181"/>
      <c r="J7" s="89"/>
      <c r="K7" s="207"/>
      <c r="L7" s="207"/>
      <c r="M7" s="207"/>
      <c r="N7" s="207"/>
      <c r="O7" s="207"/>
      <c r="P7" s="279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34" ht="13.2" customHeight="1" x14ac:dyDescent="0.25">
      <c r="A8" s="432" t="str">
        <f>Расп!B13</f>
        <v>Женщины</v>
      </c>
      <c r="B8" s="432"/>
      <c r="C8" s="207" t="str">
        <f>Расп!C13</f>
        <v>Юниорки до 23 лет</v>
      </c>
      <c r="E8" s="36"/>
      <c r="F8" s="89"/>
      <c r="G8" s="181"/>
      <c r="H8" s="89"/>
      <c r="I8" s="181"/>
      <c r="J8" s="282" t="str">
        <f>Расп!A1</f>
        <v>04.09.2019 г.</v>
      </c>
      <c r="K8" s="284" t="s">
        <v>122</v>
      </c>
      <c r="L8" s="207"/>
      <c r="M8" s="207"/>
      <c r="N8" s="282" t="str">
        <f>Расп!A6</f>
        <v>19.05.2019 г.</v>
      </c>
      <c r="O8" s="283" t="s">
        <v>122</v>
      </c>
      <c r="P8" s="280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62</v>
      </c>
      <c r="V8" s="88" t="s">
        <v>61</v>
      </c>
      <c r="W8" s="88" t="s">
        <v>63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34" ht="13.2" customHeight="1" x14ac:dyDescent="0.25">
      <c r="A9" s="86" t="str">
        <f>Расп!$A$14</f>
        <v>РМ</v>
      </c>
      <c r="B9" s="207">
        <f>Расп!B14</f>
        <v>7291</v>
      </c>
      <c r="C9" s="207" t="s">
        <v>119</v>
      </c>
      <c r="F9" s="89"/>
      <c r="G9" s="181"/>
      <c r="H9" s="89"/>
      <c r="I9" s="181"/>
      <c r="J9" s="192" t="str">
        <f>Расп!A2</f>
        <v>бег с барьерами 100 м</v>
      </c>
      <c r="K9" s="190">
        <f>Расп!B2</f>
        <v>0.40972222222222227</v>
      </c>
      <c r="L9" s="281"/>
      <c r="M9" s="281"/>
      <c r="N9" s="192" t="str">
        <f>Расп!A7</f>
        <v>прыжок в длину</v>
      </c>
      <c r="O9" s="190">
        <f>Расп!B7</f>
        <v>0.41666666666666669</v>
      </c>
      <c r="P9" s="280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34" ht="13.2" customHeight="1" x14ac:dyDescent="0.25">
      <c r="A10" s="86" t="str">
        <f>Расп!$A$15</f>
        <v>РЕ</v>
      </c>
      <c r="B10" s="207">
        <f>Расп!B15</f>
        <v>7032</v>
      </c>
      <c r="C10" s="207" t="s">
        <v>127</v>
      </c>
      <c r="F10" s="89"/>
      <c r="G10" s="181"/>
      <c r="H10" s="205"/>
      <c r="I10" s="206"/>
      <c r="J10" s="192" t="str">
        <f>Расп!A3</f>
        <v>прыжок в высоту</v>
      </c>
      <c r="K10" s="190">
        <f>Расп!B3</f>
        <v>0.44791666666666669</v>
      </c>
      <c r="L10" s="198"/>
      <c r="M10" s="198"/>
      <c r="N10" s="192" t="str">
        <f>Расп!A8</f>
        <v>метание копья (600 г)</v>
      </c>
      <c r="O10" s="190">
        <f>Расп!B8</f>
        <v>0.48958333333333331</v>
      </c>
      <c r="P10" s="280" t="s">
        <v>24</v>
      </c>
      <c r="Q10" s="168"/>
      <c r="R10" s="218"/>
      <c r="S10" s="168"/>
      <c r="T10" s="168"/>
      <c r="U10" s="168"/>
      <c r="V10" s="168"/>
      <c r="W10" s="219"/>
      <c r="Z10" s="206"/>
      <c r="AB10" s="60"/>
      <c r="AC10" s="89"/>
      <c r="AD10" s="89"/>
      <c r="AE10" s="89"/>
      <c r="AF10" s="89"/>
      <c r="AG10" s="89"/>
    </row>
    <row r="11" spans="1:34" ht="13.2" customHeight="1" x14ac:dyDescent="0.25">
      <c r="A11" s="86" t="str">
        <f>Расп!$A$16</f>
        <v>РР</v>
      </c>
      <c r="B11" s="207">
        <f>Расп!B16</f>
        <v>7007</v>
      </c>
      <c r="C11" s="207" t="s">
        <v>128</v>
      </c>
      <c r="G11" s="205"/>
      <c r="I11" s="89"/>
      <c r="J11" s="192" t="str">
        <f>Расп!A4</f>
        <v>толкание ядра</v>
      </c>
      <c r="K11" s="190">
        <f>Расп!B4</f>
        <v>0.70833333333333337</v>
      </c>
      <c r="L11" s="198"/>
      <c r="M11" s="198"/>
      <c r="N11" s="192" t="str">
        <f>Расп!A9</f>
        <v>бег 800 м</v>
      </c>
      <c r="O11" s="190">
        <f>Расп!B9</f>
        <v>0.75694444444444453</v>
      </c>
      <c r="P11" s="280"/>
      <c r="Q11" s="220" t="s">
        <v>84</v>
      </c>
      <c r="R11" s="221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34" ht="13.2" customHeight="1" x14ac:dyDescent="0.3">
      <c r="A12" s="206" t="str">
        <f>Расп!$A$26</f>
        <v>г.Сочи, Адлерский район, стадион "Юность"</v>
      </c>
      <c r="D12" s="44"/>
      <c r="J12" s="192" t="str">
        <f>Расп!A5</f>
        <v>бег 200 м</v>
      </c>
      <c r="K12" s="190">
        <f>Расп!B5</f>
        <v>0.75347222222222221</v>
      </c>
      <c r="L12" s="198"/>
      <c r="M12" s="198"/>
      <c r="N12" s="198"/>
      <c r="O12" s="198"/>
      <c r="P12" s="279"/>
      <c r="Q12" s="168"/>
      <c r="R12" s="168"/>
      <c r="S12" s="168"/>
      <c r="T12" s="168"/>
      <c r="U12" s="168"/>
      <c r="V12" s="168"/>
      <c r="W12" s="219"/>
      <c r="Z12" s="206"/>
      <c r="AA12" s="88"/>
      <c r="AB12" s="86"/>
      <c r="AC12" s="206"/>
    </row>
    <row r="13" spans="1:34" s="98" customFormat="1" ht="30.6" customHeight="1" x14ac:dyDescent="0.25">
      <c r="A13" s="193" t="s">
        <v>60</v>
      </c>
      <c r="B13" s="193" t="s">
        <v>113</v>
      </c>
      <c r="C13" s="193" t="s">
        <v>126</v>
      </c>
      <c r="D13" s="193" t="s">
        <v>129</v>
      </c>
      <c r="E13" s="93"/>
      <c r="F13" s="193" t="s">
        <v>104</v>
      </c>
      <c r="G13" s="193" t="s">
        <v>105</v>
      </c>
      <c r="H13" s="193" t="s">
        <v>106</v>
      </c>
      <c r="I13" s="193" t="s">
        <v>123</v>
      </c>
      <c r="J13" s="193" t="s">
        <v>108</v>
      </c>
      <c r="K13" s="193" t="s">
        <v>109</v>
      </c>
      <c r="L13" s="193" t="s">
        <v>124</v>
      </c>
      <c r="M13" s="200" t="s">
        <v>29</v>
      </c>
      <c r="N13" s="200" t="s">
        <v>0</v>
      </c>
      <c r="O13" s="287" t="s">
        <v>120</v>
      </c>
      <c r="P13" s="223" t="s">
        <v>19</v>
      </c>
      <c r="Q13" s="96" t="s">
        <v>91</v>
      </c>
      <c r="R13" s="96" t="s">
        <v>92</v>
      </c>
      <c r="S13" s="96" t="s">
        <v>93</v>
      </c>
      <c r="T13" s="97" t="s">
        <v>76</v>
      </c>
      <c r="U13" s="97" t="s">
        <v>16</v>
      </c>
      <c r="V13" s="97" t="s">
        <v>27</v>
      </c>
      <c r="W13" s="97">
        <v>200</v>
      </c>
      <c r="X13" s="97" t="s">
        <v>26</v>
      </c>
      <c r="Y13" s="224" t="s">
        <v>17</v>
      </c>
      <c r="Z13" s="224">
        <v>800</v>
      </c>
      <c r="AC13" s="225" t="s">
        <v>87</v>
      </c>
      <c r="AD13" s="225" t="s">
        <v>88</v>
      </c>
    </row>
    <row r="14" spans="1:34" s="205" customFormat="1" ht="13.2" hidden="1" customHeight="1" x14ac:dyDescent="0.25">
      <c r="D14" s="187"/>
      <c r="M14" s="49"/>
      <c r="N14" s="49"/>
      <c r="O14" s="49"/>
      <c r="P14" s="159"/>
      <c r="Q14" s="49"/>
      <c r="R14" s="49"/>
      <c r="S14" s="49"/>
      <c r="T14" s="169"/>
      <c r="U14" s="169"/>
      <c r="V14" s="169"/>
      <c r="W14" s="169"/>
      <c r="X14" s="169"/>
      <c r="Y14" s="169"/>
      <c r="Z14" s="226"/>
      <c r="AC14" s="227"/>
      <c r="AD14" s="131"/>
    </row>
    <row r="15" spans="1:34" s="205" customFormat="1" ht="13.2" customHeight="1" thickBot="1" x14ac:dyDescent="0.3">
      <c r="A15" s="228"/>
      <c r="B15" s="228"/>
      <c r="C15" s="228"/>
      <c r="D15" s="229"/>
      <c r="E15" s="228"/>
      <c r="F15" s="228"/>
      <c r="G15" s="228"/>
      <c r="H15" s="228"/>
      <c r="I15" s="228"/>
      <c r="J15" s="228"/>
      <c r="K15" s="228"/>
      <c r="L15" s="228"/>
      <c r="M15" s="230"/>
      <c r="N15" s="230"/>
      <c r="O15" s="230"/>
      <c r="P15" s="159"/>
      <c r="Q15" s="49"/>
      <c r="R15" s="49"/>
      <c r="S15" s="49"/>
      <c r="T15" s="169"/>
      <c r="U15" s="169"/>
      <c r="V15" s="169"/>
      <c r="W15" s="169"/>
      <c r="X15" s="169"/>
      <c r="Y15" s="169"/>
      <c r="Z15" s="226"/>
      <c r="AC15" s="227"/>
      <c r="AD15" s="131"/>
    </row>
    <row r="16" spans="1:34" s="131" customFormat="1" ht="13.2" customHeight="1" thickTop="1" x14ac:dyDescent="0.35">
      <c r="A16" s="86" t="e">
        <f>RANK(M16,$M$16:$M$85,0)</f>
        <v>#N/A</v>
      </c>
      <c r="B16" s="86">
        <v>73</v>
      </c>
      <c r="C16" s="123" t="e">
        <f>VLOOKUP(B16,Уч!$A$2:$L$16,2,FALSE)</f>
        <v>#N/A</v>
      </c>
      <c r="D16" s="231" t="e">
        <f>VLOOKUP(B16,Уч!$A$2:$L$16,3,FALSE)</f>
        <v>#N/A</v>
      </c>
      <c r="E16" s="285" t="s">
        <v>18</v>
      </c>
      <c r="F16" s="233" t="e">
        <f>VLOOKUP($B16,'110 сб '!$C$17:$I$87,5,FALSE)</f>
        <v>#N/A</v>
      </c>
      <c r="G16" s="233" t="e">
        <f>VLOOKUP($B16,высота!$C$17:$AF$42,29,FALSE)</f>
        <v>#N/A</v>
      </c>
      <c r="H16" s="233" t="e">
        <f>VLOOKUP($B16,ядро!$C$17:$K$43,8,FALSE)</f>
        <v>#N/A</v>
      </c>
      <c r="I16" s="233" t="e">
        <f>VLOOKUP($B16,'2_р'!$C$17:$I$68,5,FALSE)</f>
        <v>#N/A</v>
      </c>
      <c r="J16" s="233" t="e">
        <f>VLOOKUP($B16,Дл_р!$C$17:$O$43,11,FALSE)</f>
        <v>#N/A</v>
      </c>
      <c r="K16" s="233" t="e">
        <f>VLOOKUP($B16,К_р!$C$18:$K$31,8,FALSE)</f>
        <v>#N/A</v>
      </c>
      <c r="L16" s="234" t="e">
        <f>VLOOKUP($B16,'8_р'!$C$17:$H$77,5,FALSE)</f>
        <v>#N/A</v>
      </c>
      <c r="M16" s="235" t="e">
        <f>SUM(F18:L18)</f>
        <v>#N/A</v>
      </c>
      <c r="N16" s="86" t="e">
        <f>LOOKUP(M16,R$1:AA$1,R$2:AA$2)</f>
        <v>#N/A</v>
      </c>
      <c r="O16" s="86" t="e">
        <f>AC16+AD16+5</f>
        <v>#N/A</v>
      </c>
      <c r="P16" s="86">
        <f>B16</f>
        <v>73</v>
      </c>
      <c r="Q16" s="131" t="e">
        <f>$A16</f>
        <v>#N/A</v>
      </c>
      <c r="R16" s="131">
        <v>1</v>
      </c>
      <c r="S16" s="131" t="e">
        <f>$A16</f>
        <v>#N/A</v>
      </c>
      <c r="T16" s="236"/>
      <c r="U16" s="236"/>
      <c r="V16" s="236"/>
      <c r="W16" s="236"/>
      <c r="X16" s="236"/>
      <c r="Y16" s="236"/>
      <c r="Z16" s="236"/>
      <c r="AA16" s="86"/>
      <c r="AB16" s="86"/>
      <c r="AC16" s="131" t="e">
        <f>IF(AND(Q16&gt;16,M16&gt;=4600),"1",LOOKUP(Q16,Q$5:AH$5,Q$6:AH$6))</f>
        <v>#N/A</v>
      </c>
      <c r="AD16" s="131" t="e">
        <f>LOOKUP(N16,R$8:W$8,R$9:W$9)</f>
        <v>#N/A</v>
      </c>
      <c r="AE16" s="210" t="s">
        <v>89</v>
      </c>
      <c r="AF16" s="211" t="s">
        <v>90</v>
      </c>
      <c r="AG16" s="210">
        <v>4000</v>
      </c>
    </row>
    <row r="17" spans="1:30" s="131" customFormat="1" ht="13.2" customHeight="1" x14ac:dyDescent="0.35">
      <c r="A17" s="86"/>
      <c r="B17" s="86"/>
      <c r="C17" s="123" t="e">
        <f>VLOOKUP(B16,Уч!$A$2:$L$16,5,FALSE)</f>
        <v>#N/A</v>
      </c>
      <c r="D17" s="231" t="e">
        <f>VLOOKUP(B16,Уч!$A$2:$L$16,4,FALSE)</f>
        <v>#N/A</v>
      </c>
      <c r="E17" s="285" t="s">
        <v>25</v>
      </c>
      <c r="F17" s="238" t="e">
        <f>VLOOKUP($B16,'110 сб '!$C$17:$I$87,6,FALSE)</f>
        <v>#N/A</v>
      </c>
      <c r="G17" s="239"/>
      <c r="H17" s="239"/>
      <c r="I17" s="238" t="e">
        <f>VLOOKUP($B16,'2_р'!$C$17:$I$68,6,FALSE)</f>
        <v>#N/A</v>
      </c>
      <c r="J17" s="238" t="e">
        <f>VLOOKUP($B16,Дл_р!$C$17:$O$43,12,FALSE)</f>
        <v>#N/A</v>
      </c>
      <c r="K17" s="239"/>
      <c r="L17" s="240"/>
      <c r="M17" s="152"/>
      <c r="N17" s="86"/>
      <c r="O17" s="86" t="e">
        <f>CONCATENATE(AC16,"+",AD16,"+",5)</f>
        <v>#N/A</v>
      </c>
      <c r="P17" s="86">
        <f>B16</f>
        <v>73</v>
      </c>
      <c r="Q17" s="131" t="e">
        <f>$A16</f>
        <v>#N/A</v>
      </c>
      <c r="R17" s="131">
        <v>2</v>
      </c>
      <c r="S17" s="131" t="e">
        <f>$A16</f>
        <v>#N/A</v>
      </c>
      <c r="T17" s="236"/>
      <c r="U17" s="236"/>
      <c r="V17" s="236"/>
      <c r="W17" s="236"/>
      <c r="X17" s="236"/>
      <c r="Y17" s="236"/>
      <c r="Z17" s="236"/>
      <c r="AB17" s="86"/>
    </row>
    <row r="18" spans="1:30" s="131" customFormat="1" ht="13.2" customHeight="1" x14ac:dyDescent="0.35">
      <c r="A18" s="86"/>
      <c r="B18" s="86"/>
      <c r="C18" s="241" t="e">
        <f>VLOOKUP(B16,Уч!$A$2:$L$16,7,FALSE)</f>
        <v>#N/A</v>
      </c>
      <c r="D18" s="242"/>
      <c r="E18" s="285" t="s">
        <v>29</v>
      </c>
      <c r="F18" s="243" t="e">
        <f>VLOOKUP($B16,'110 сб '!$C$17:$I$87,7,FALSE)</f>
        <v>#N/A</v>
      </c>
      <c r="G18" s="243" t="e">
        <f>VLOOKUP($B16,высота!$C$17:$AF$42,30,FALSE)</f>
        <v>#N/A</v>
      </c>
      <c r="H18" s="243" t="e">
        <f>VLOOKUP($B16,ядро!$C$17:$K$43,9,FALSE)</f>
        <v>#N/A</v>
      </c>
      <c r="I18" s="243" t="e">
        <f>VLOOKUP($B16,'2_р'!$C$17:$I$68,7,FALSE)</f>
        <v>#N/A</v>
      </c>
      <c r="J18" s="243" t="e">
        <f>VLOOKUP($B16,Дл_р!$C$17:$O$43,13,FALSE)</f>
        <v>#N/A</v>
      </c>
      <c r="K18" s="243" t="e">
        <f>VLOOKUP($B16,К_р!$C$18:$K$31,9,FALSE)</f>
        <v>#N/A</v>
      </c>
      <c r="L18" s="240" t="e">
        <f>VLOOKUP($B16,'8_р'!$C$17:$H$77,6,FALSE)</f>
        <v>#N/A</v>
      </c>
      <c r="M18" s="152"/>
      <c r="N18" s="244"/>
      <c r="O18" s="152"/>
      <c r="P18" s="243">
        <f>B16</f>
        <v>73</v>
      </c>
      <c r="Q18" s="131" t="e">
        <f>$A16</f>
        <v>#N/A</v>
      </c>
      <c r="R18" s="131">
        <v>3</v>
      </c>
      <c r="S18" s="131" t="e">
        <f>$A16</f>
        <v>#N/A</v>
      </c>
      <c r="T18" s="236"/>
      <c r="U18" s="236"/>
      <c r="V18" s="236"/>
      <c r="W18" s="236"/>
      <c r="X18" s="236"/>
      <c r="Y18" s="236"/>
      <c r="Z18" s="236"/>
      <c r="AA18" s="86"/>
      <c r="AB18" s="86"/>
    </row>
    <row r="19" spans="1:30" s="131" customFormat="1" ht="13.2" customHeight="1" x14ac:dyDescent="0.35">
      <c r="A19" s="86"/>
      <c r="B19" s="86"/>
      <c r="C19" s="241" t="e">
        <f>VLOOKUP(B16,Уч!$A$2:$L$16,11,FALSE)</f>
        <v>#N/A</v>
      </c>
      <c r="E19" s="285" t="s">
        <v>125</v>
      </c>
      <c r="F19" s="243" t="e">
        <f>F18</f>
        <v>#N/A</v>
      </c>
      <c r="G19" s="243" t="e">
        <f t="shared" ref="G19:L19" si="0">F19+G18</f>
        <v>#N/A</v>
      </c>
      <c r="H19" s="243" t="e">
        <f t="shared" si="0"/>
        <v>#N/A</v>
      </c>
      <c r="I19" s="243" t="e">
        <f t="shared" si="0"/>
        <v>#N/A</v>
      </c>
      <c r="J19" s="243" t="e">
        <f t="shared" si="0"/>
        <v>#N/A</v>
      </c>
      <c r="K19" s="243" t="e">
        <f t="shared" si="0"/>
        <v>#N/A</v>
      </c>
      <c r="L19" s="240" t="e">
        <f t="shared" si="0"/>
        <v>#N/A</v>
      </c>
      <c r="M19" s="152"/>
      <c r="N19" s="244"/>
      <c r="O19" s="152"/>
      <c r="P19" s="243">
        <f>B16</f>
        <v>73</v>
      </c>
      <c r="Q19" s="131" t="e">
        <f>$A16</f>
        <v>#N/A</v>
      </c>
      <c r="R19" s="131">
        <v>4</v>
      </c>
      <c r="S19" s="131" t="e">
        <f>$A16</f>
        <v>#N/A</v>
      </c>
      <c r="T19" s="152" t="e">
        <f t="shared" ref="T19:Z19" si="1">F19</f>
        <v>#N/A</v>
      </c>
      <c r="U19" s="152" t="e">
        <f t="shared" si="1"/>
        <v>#N/A</v>
      </c>
      <c r="V19" s="152" t="e">
        <f t="shared" si="1"/>
        <v>#N/A</v>
      </c>
      <c r="W19" s="152" t="e">
        <f t="shared" si="1"/>
        <v>#N/A</v>
      </c>
      <c r="X19" s="152" t="e">
        <f t="shared" si="1"/>
        <v>#N/A</v>
      </c>
      <c r="Y19" s="152" t="e">
        <f t="shared" si="1"/>
        <v>#N/A</v>
      </c>
      <c r="Z19" s="152" t="e">
        <f t="shared" si="1"/>
        <v>#N/A</v>
      </c>
      <c r="AA19" s="86"/>
      <c r="AB19" s="86"/>
    </row>
    <row r="20" spans="1:30" s="131" customFormat="1" ht="13.2" customHeight="1" thickBot="1" x14ac:dyDescent="0.4">
      <c r="A20" s="245"/>
      <c r="B20" s="245"/>
      <c r="C20" s="246" t="e">
        <f>VLOOKUP(B16,Уч!$A$2:$L$16,12,FALSE)</f>
        <v>#N/A</v>
      </c>
      <c r="D20" s="247"/>
      <c r="E20" s="286" t="s">
        <v>60</v>
      </c>
      <c r="F20" s="249" t="e">
        <f>RANK(F19,$T$19:$T$85,0)</f>
        <v>#N/A</v>
      </c>
      <c r="G20" s="249" t="e">
        <f>RANK(G19,$U$19:$U$85,0)</f>
        <v>#N/A</v>
      </c>
      <c r="H20" s="249" t="e">
        <f>RANK(H19,$V$19:$V$85,0)</f>
        <v>#N/A</v>
      </c>
      <c r="I20" s="249" t="e">
        <f>RANK(I19,$W$19:$W$85,0)</f>
        <v>#N/A</v>
      </c>
      <c r="J20" s="249" t="e">
        <f>RANK(J19,$X$19:$X$85,0)</f>
        <v>#N/A</v>
      </c>
      <c r="K20" s="249" t="e">
        <f>RANK(K19,$Y$19:$Y$85,0)</f>
        <v>#N/A</v>
      </c>
      <c r="L20" s="250" t="e">
        <f>RANK(L19,$Z$19:$Z$85,0)</f>
        <v>#N/A</v>
      </c>
      <c r="M20" s="251"/>
      <c r="N20" s="252"/>
      <c r="O20" s="251"/>
      <c r="P20" s="243">
        <f>B16</f>
        <v>73</v>
      </c>
      <c r="Q20" s="131" t="e">
        <f>$A16</f>
        <v>#N/A</v>
      </c>
      <c r="R20" s="131">
        <v>5</v>
      </c>
      <c r="S20" s="131" t="e">
        <f>$A16</f>
        <v>#N/A</v>
      </c>
      <c r="T20" s="236"/>
      <c r="U20" s="236"/>
      <c r="V20" s="236"/>
      <c r="W20" s="236"/>
      <c r="X20" s="236"/>
      <c r="Y20" s="236"/>
      <c r="Z20" s="236"/>
      <c r="AA20" s="86"/>
      <c r="AB20" s="86"/>
    </row>
    <row r="21" spans="1:30" s="131" customFormat="1" ht="13.2" customHeight="1" thickTop="1" x14ac:dyDescent="0.35">
      <c r="A21" s="86" t="e">
        <f>RANK(M21,$M$16:$M$85,0)</f>
        <v>#N/A</v>
      </c>
      <c r="B21" s="86">
        <v>51</v>
      </c>
      <c r="C21" s="123" t="e">
        <f>VLOOKUP(B21,Уч!$A$2:$L$16,2,FALSE)</f>
        <v>#N/A</v>
      </c>
      <c r="D21" s="231" t="e">
        <f>VLOOKUP(B21,Уч!$A$2:$L$16,3,FALSE)</f>
        <v>#N/A</v>
      </c>
      <c r="E21" s="285" t="s">
        <v>18</v>
      </c>
      <c r="F21" s="233" t="e">
        <f>VLOOKUP($B21,'110 сб '!$C$17:$I$87,5,FALSE)</f>
        <v>#N/A</v>
      </c>
      <c r="G21" s="233" t="e">
        <f>VLOOKUP($B21,высота!$C$17:$AF$42,29,FALSE)</f>
        <v>#N/A</v>
      </c>
      <c r="H21" s="233" t="e">
        <f>VLOOKUP($B21,ядро!$C$17:$K$43,8,FALSE)</f>
        <v>#N/A</v>
      </c>
      <c r="I21" s="233" t="e">
        <f>VLOOKUP($B21,'2_р'!$C$17:$I$68,5,FALSE)</f>
        <v>#N/A</v>
      </c>
      <c r="J21" s="233" t="e">
        <f>VLOOKUP($B21,Дл_р!$C$17:$O$43,11,FALSE)</f>
        <v>#N/A</v>
      </c>
      <c r="K21" s="233" t="e">
        <f>VLOOKUP($B21,К_р!$C$18:$K$31,8,FALSE)</f>
        <v>#N/A</v>
      </c>
      <c r="L21" s="234" t="e">
        <f>VLOOKUP($B21,'8_р'!$C$17:$H$77,5,FALSE)</f>
        <v>#N/A</v>
      </c>
      <c r="M21" s="152" t="e">
        <f>SUM(F23:L23)</f>
        <v>#N/A</v>
      </c>
      <c r="N21" s="86" t="e">
        <f>LOOKUP(M21,R$1:AA$1,R$2:AA$2)</f>
        <v>#N/A</v>
      </c>
      <c r="O21" s="86" t="e">
        <f>AC21+AD21+5</f>
        <v>#N/A</v>
      </c>
      <c r="P21" s="86">
        <f>B21</f>
        <v>51</v>
      </c>
      <c r="Q21" s="131" t="e">
        <f>$A21</f>
        <v>#N/A</v>
      </c>
      <c r="R21" s="131">
        <v>1</v>
      </c>
      <c r="S21" s="131" t="e">
        <f>$A21</f>
        <v>#N/A</v>
      </c>
      <c r="T21" s="236"/>
      <c r="U21" s="236"/>
      <c r="V21" s="236"/>
      <c r="W21" s="236"/>
      <c r="X21" s="236"/>
      <c r="Y21" s="236"/>
      <c r="Z21" s="236"/>
      <c r="AC21" s="131" t="e">
        <f>IF(AND(Q21&gt;16,M21&gt;=4600),"1",LOOKUP(Q21,Q$5:AH$5,Q$6:AH$6))</f>
        <v>#N/A</v>
      </c>
      <c r="AD21" s="131" t="e">
        <f>LOOKUP(N21,R$8:W$8,R$9:W$9)</f>
        <v>#N/A</v>
      </c>
    </row>
    <row r="22" spans="1:30" s="131" customFormat="1" ht="13.2" customHeight="1" x14ac:dyDescent="0.35">
      <c r="A22" s="86"/>
      <c r="B22" s="86"/>
      <c r="C22" s="123" t="e">
        <f>VLOOKUP(B21,Уч!$A$2:$L$16,5,FALSE)</f>
        <v>#N/A</v>
      </c>
      <c r="D22" s="231" t="e">
        <f>VLOOKUP(B21,Уч!$A$2:$L$16,4,FALSE)</f>
        <v>#N/A</v>
      </c>
      <c r="E22" s="285" t="s">
        <v>25</v>
      </c>
      <c r="F22" s="238" t="e">
        <f>VLOOKUP($B21,'110 сб '!$C$17:$I$87,6,FALSE)</f>
        <v>#N/A</v>
      </c>
      <c r="G22" s="239"/>
      <c r="H22" s="239"/>
      <c r="I22" s="238" t="e">
        <f>VLOOKUP($B21,'2_р'!$C$17:$I$68,6,FALSE)</f>
        <v>#N/A</v>
      </c>
      <c r="J22" s="238" t="e">
        <f>VLOOKUP($B21,Дл_р!$C$17:$O$43,12,FALSE)</f>
        <v>#N/A</v>
      </c>
      <c r="K22" s="239"/>
      <c r="L22" s="240"/>
      <c r="M22" s="152"/>
      <c r="N22" s="86"/>
      <c r="O22" s="86" t="e">
        <f>CONCATENATE(AC21,"+",AD21,"+",5)</f>
        <v>#N/A</v>
      </c>
      <c r="P22" s="86">
        <f>B21</f>
        <v>51</v>
      </c>
      <c r="Q22" s="131" t="e">
        <f>$A21</f>
        <v>#N/A</v>
      </c>
      <c r="R22" s="131">
        <v>2</v>
      </c>
      <c r="S22" s="131" t="e">
        <f>$A21</f>
        <v>#N/A</v>
      </c>
      <c r="T22" s="236"/>
      <c r="U22" s="236"/>
      <c r="V22" s="236"/>
      <c r="W22" s="236"/>
      <c r="X22" s="236"/>
      <c r="Y22" s="236"/>
      <c r="Z22" s="236"/>
      <c r="AA22" s="88"/>
      <c r="AB22" s="244"/>
    </row>
    <row r="23" spans="1:30" s="123" customFormat="1" ht="13.2" customHeight="1" x14ac:dyDescent="0.35">
      <c r="A23" s="86"/>
      <c r="B23" s="86"/>
      <c r="C23" s="241" t="e">
        <f>VLOOKUP(B21,Уч!$A$2:$L$16,7,FALSE)</f>
        <v>#N/A</v>
      </c>
      <c r="D23" s="242"/>
      <c r="E23" s="285" t="s">
        <v>29</v>
      </c>
      <c r="F23" s="243" t="e">
        <f>VLOOKUP($B21,'110 сб '!$C$17:$I$87,7,FALSE)</f>
        <v>#N/A</v>
      </c>
      <c r="G23" s="243" t="e">
        <f>VLOOKUP($B21,высота!$C$17:$AF$42,30,FALSE)</f>
        <v>#N/A</v>
      </c>
      <c r="H23" s="243" t="e">
        <f>VLOOKUP($B21,ядро!$C$17:$K$43,9,FALSE)</f>
        <v>#N/A</v>
      </c>
      <c r="I23" s="243" t="e">
        <f>VLOOKUP($B21,'2_р'!$C$17:$I$68,7,FALSE)</f>
        <v>#N/A</v>
      </c>
      <c r="J23" s="243" t="e">
        <f>VLOOKUP($B21,Дл_р!$C$17:$O$43,13,FALSE)</f>
        <v>#N/A</v>
      </c>
      <c r="K23" s="243" t="e">
        <f>VLOOKUP($B21,К_р!$C$18:$K$31,9,FALSE)</f>
        <v>#N/A</v>
      </c>
      <c r="L23" s="240" t="e">
        <f>VLOOKUP($B21,'8_р'!$C$17:$H$77,6,FALSE)</f>
        <v>#N/A</v>
      </c>
      <c r="M23" s="152"/>
      <c r="N23" s="244"/>
      <c r="O23" s="152"/>
      <c r="P23" s="243">
        <f>B21</f>
        <v>51</v>
      </c>
      <c r="Q23" s="131" t="e">
        <f>$A21</f>
        <v>#N/A</v>
      </c>
      <c r="R23" s="131">
        <v>3</v>
      </c>
      <c r="S23" s="131" t="e">
        <f>$A21</f>
        <v>#N/A</v>
      </c>
      <c r="T23" s="236"/>
      <c r="U23" s="236"/>
      <c r="V23" s="236"/>
      <c r="W23" s="236"/>
      <c r="X23" s="236"/>
      <c r="Y23" s="236"/>
      <c r="Z23" s="236"/>
      <c r="AC23" s="131"/>
      <c r="AD23" s="131"/>
    </row>
    <row r="24" spans="1:30" s="123" customFormat="1" ht="13.2" customHeight="1" x14ac:dyDescent="0.35">
      <c r="A24" s="86"/>
      <c r="B24" s="86"/>
      <c r="C24" s="241" t="e">
        <f>VLOOKUP(B21,Уч!$A$2:$L$16,11,FALSE)</f>
        <v>#N/A</v>
      </c>
      <c r="D24" s="131"/>
      <c r="E24" s="285" t="s">
        <v>125</v>
      </c>
      <c r="F24" s="243" t="e">
        <f>F23</f>
        <v>#N/A</v>
      </c>
      <c r="G24" s="243" t="e">
        <f t="shared" ref="G24:L24" si="2">F24+G23</f>
        <v>#N/A</v>
      </c>
      <c r="H24" s="243" t="e">
        <f t="shared" si="2"/>
        <v>#N/A</v>
      </c>
      <c r="I24" s="243" t="e">
        <f t="shared" si="2"/>
        <v>#N/A</v>
      </c>
      <c r="J24" s="243" t="e">
        <f t="shared" si="2"/>
        <v>#N/A</v>
      </c>
      <c r="K24" s="243" t="e">
        <f t="shared" si="2"/>
        <v>#N/A</v>
      </c>
      <c r="L24" s="240" t="e">
        <f t="shared" si="2"/>
        <v>#N/A</v>
      </c>
      <c r="M24" s="152"/>
      <c r="N24" s="244"/>
      <c r="O24" s="152"/>
      <c r="P24" s="243">
        <f>B21</f>
        <v>51</v>
      </c>
      <c r="Q24" s="131" t="e">
        <f>$A21</f>
        <v>#N/A</v>
      </c>
      <c r="R24" s="131">
        <v>4</v>
      </c>
      <c r="S24" s="131" t="e">
        <f>$A21</f>
        <v>#N/A</v>
      </c>
      <c r="T24" s="152" t="e">
        <f t="shared" ref="T24:Z24" si="3">F24</f>
        <v>#N/A</v>
      </c>
      <c r="U24" s="152" t="e">
        <f t="shared" si="3"/>
        <v>#N/A</v>
      </c>
      <c r="V24" s="152" t="e">
        <f t="shared" si="3"/>
        <v>#N/A</v>
      </c>
      <c r="W24" s="152" t="e">
        <f t="shared" si="3"/>
        <v>#N/A</v>
      </c>
      <c r="X24" s="152" t="e">
        <f t="shared" si="3"/>
        <v>#N/A</v>
      </c>
      <c r="Y24" s="152" t="e">
        <f t="shared" si="3"/>
        <v>#N/A</v>
      </c>
      <c r="Z24" s="152" t="e">
        <f t="shared" si="3"/>
        <v>#N/A</v>
      </c>
      <c r="AC24" s="131"/>
      <c r="AD24" s="131"/>
    </row>
    <row r="25" spans="1:30" s="123" customFormat="1" ht="13.2" customHeight="1" thickBot="1" x14ac:dyDescent="0.4">
      <c r="A25" s="245"/>
      <c r="B25" s="245"/>
      <c r="C25" s="246" t="e">
        <f>VLOOKUP(B21,Уч!$A$2:$L$16,12,FALSE)</f>
        <v>#N/A</v>
      </c>
      <c r="D25" s="247"/>
      <c r="E25" s="286" t="s">
        <v>60</v>
      </c>
      <c r="F25" s="249" t="e">
        <f>RANK(F24,$T$19:$T$85,0)</f>
        <v>#N/A</v>
      </c>
      <c r="G25" s="249" t="e">
        <f>RANK(G24,$U$19:$U$85,0)</f>
        <v>#N/A</v>
      </c>
      <c r="H25" s="249" t="e">
        <f>RANK(H24,$V$19:$V$85,0)</f>
        <v>#N/A</v>
      </c>
      <c r="I25" s="249" t="e">
        <f>RANK(I24,$W$19:$W$85,0)</f>
        <v>#N/A</v>
      </c>
      <c r="J25" s="249" t="e">
        <f>RANK(J24,$X$19:$X$85,0)</f>
        <v>#N/A</v>
      </c>
      <c r="K25" s="249" t="e">
        <f>RANK(K24,$Y$19:$Y$85,0)</f>
        <v>#N/A</v>
      </c>
      <c r="L25" s="250" t="e">
        <f>RANK(L24,$Z$19:$Z$85,0)</f>
        <v>#N/A</v>
      </c>
      <c r="M25" s="251"/>
      <c r="N25" s="252"/>
      <c r="O25" s="251"/>
      <c r="P25" s="243">
        <f>B21</f>
        <v>51</v>
      </c>
      <c r="Q25" s="131" t="e">
        <f>$A21</f>
        <v>#N/A</v>
      </c>
      <c r="R25" s="131">
        <v>5</v>
      </c>
      <c r="S25" s="131" t="e">
        <f>$A21</f>
        <v>#N/A</v>
      </c>
      <c r="T25" s="236"/>
      <c r="U25" s="236"/>
      <c r="V25" s="236"/>
      <c r="W25" s="236"/>
      <c r="X25" s="236"/>
      <c r="Y25" s="236"/>
      <c r="Z25" s="236"/>
      <c r="AC25" s="131"/>
      <c r="AD25" s="131"/>
    </row>
    <row r="26" spans="1:30" s="123" customFormat="1" ht="13.2" customHeight="1" thickTop="1" x14ac:dyDescent="0.35">
      <c r="A26" s="86" t="e">
        <f>RANK(M26,$M$16:$M$85,0)</f>
        <v>#N/A</v>
      </c>
      <c r="B26" s="86">
        <v>64</v>
      </c>
      <c r="C26" s="123" t="str">
        <f>VLOOKUP(B26,Уч!$A$2:$L$16,2,FALSE)</f>
        <v>Дерган Евгения</v>
      </c>
      <c r="D26" s="231" t="str">
        <f>VLOOKUP(B26,Уч!$A$2:$L$16,3,FALSE)</f>
        <v>11.04.1994</v>
      </c>
      <c r="E26" s="285" t="s">
        <v>18</v>
      </c>
      <c r="F26" s="233">
        <f>VLOOKUP($B26,'110 сб '!$C$17:$I$87,5,FALSE)</f>
        <v>15.87</v>
      </c>
      <c r="G26" s="233">
        <f>VLOOKUP($B26,высота!$C$17:$AF$42,29,FALSE)</f>
        <v>1.86</v>
      </c>
      <c r="H26" s="233">
        <f>VLOOKUP($B26,ядро!$C$17:$K$43,8,FALSE)</f>
        <v>14.48</v>
      </c>
      <c r="I26" s="233">
        <f>VLOOKUP($B26,'2_р'!$C$17:$I$68,5,FALSE)</f>
        <v>26.81</v>
      </c>
      <c r="J26" s="233">
        <f>VLOOKUP($B26,Дл_р!$C$17:$O$43,11,FALSE)</f>
        <v>5.3</v>
      </c>
      <c r="K26" s="233">
        <f>VLOOKUP($B26,К_р!$C$18:$K$31,8,FALSE)</f>
        <v>38.68</v>
      </c>
      <c r="L26" s="234" t="str">
        <f>VLOOKUP($B26,'8_р'!$C$17:$H$77,5,FALSE)</f>
        <v>2:32.13</v>
      </c>
      <c r="M26" s="152">
        <f>SUM(F28:L28)</f>
        <v>4235</v>
      </c>
      <c r="N26" s="86">
        <f>LOOKUP(M26,R$1:AA$1,R$2:AA$2)</f>
        <v>1</v>
      </c>
      <c r="O26" s="86" t="e">
        <f>AC26+AD26+5</f>
        <v>#N/A</v>
      </c>
      <c r="P26" s="86">
        <f>B26</f>
        <v>64</v>
      </c>
      <c r="Q26" s="131" t="e">
        <f>$A26</f>
        <v>#N/A</v>
      </c>
      <c r="R26" s="131">
        <v>1</v>
      </c>
      <c r="S26" s="131" t="e">
        <f>$A26</f>
        <v>#N/A</v>
      </c>
      <c r="T26" s="236"/>
      <c r="U26" s="236"/>
      <c r="V26" s="236"/>
      <c r="W26" s="236"/>
      <c r="X26" s="236"/>
      <c r="Y26" s="236"/>
      <c r="Z26" s="253"/>
      <c r="AA26" s="131"/>
      <c r="AC26" s="131" t="e">
        <f>IF(AND(Q26&gt;16,M26&gt;=4600),"1",LOOKUP(Q26,Q$5:AH$5,Q$6:AH$6))</f>
        <v>#N/A</v>
      </c>
      <c r="AD26" s="131">
        <f>LOOKUP(N26,R$8:W$8,R$9:W$9)</f>
        <v>0</v>
      </c>
    </row>
    <row r="27" spans="1:30" s="123" customFormat="1" ht="13.2" customHeight="1" x14ac:dyDescent="0.35">
      <c r="A27" s="86"/>
      <c r="B27" s="86"/>
      <c r="C27" s="123" t="str">
        <f>VLOOKUP(B26,Уч!$A$2:$L$16,5,FALSE)</f>
        <v xml:space="preserve">Республика Адыгея  </v>
      </c>
      <c r="D27" s="231" t="str">
        <f>VLOOKUP(B26,Уч!$A$2:$L$16,4,FALSE)</f>
        <v>КМС</v>
      </c>
      <c r="E27" s="285" t="s">
        <v>25</v>
      </c>
      <c r="F27" s="238">
        <f>VLOOKUP($B26,'110 сб '!$C$17:$I$87,6,FALSE)</f>
        <v>1.2</v>
      </c>
      <c r="G27" s="239"/>
      <c r="H27" s="239"/>
      <c r="I27" s="238">
        <f>VLOOKUP($B26,'2_р'!$C$17:$I$68,6,FALSE)</f>
        <v>1.2</v>
      </c>
      <c r="J27" s="238">
        <f>VLOOKUP($B26,Дл_р!$C$17:$O$43,12,FALSE)</f>
        <v>-0.1</v>
      </c>
      <c r="K27" s="239"/>
      <c r="L27" s="240"/>
      <c r="M27" s="152"/>
      <c r="N27" s="86"/>
      <c r="O27" s="86" t="e">
        <f>CONCATENATE(AC26,"+",AD26,"+",5)</f>
        <v>#N/A</v>
      </c>
      <c r="P27" s="86">
        <f>B26</f>
        <v>64</v>
      </c>
      <c r="Q27" s="131" t="e">
        <f>$A26</f>
        <v>#N/A</v>
      </c>
      <c r="R27" s="131">
        <v>2</v>
      </c>
      <c r="S27" s="131" t="e">
        <f>$A26</f>
        <v>#N/A</v>
      </c>
      <c r="T27" s="236"/>
      <c r="U27" s="236"/>
      <c r="V27" s="236"/>
      <c r="W27" s="236"/>
      <c r="X27" s="236"/>
      <c r="Y27" s="236"/>
      <c r="Z27" s="253"/>
      <c r="AA27" s="131"/>
      <c r="AC27" s="131"/>
      <c r="AD27" s="131"/>
    </row>
    <row r="28" spans="1:30" s="123" customFormat="1" ht="13.2" customHeight="1" x14ac:dyDescent="0.35">
      <c r="A28" s="86"/>
      <c r="B28" s="86"/>
      <c r="C28" s="241" t="str">
        <f>VLOOKUP(B26,Уч!$A$2:$L$16,7,FALSE)</f>
        <v>ГБУ РА "ЦСП СК РА"</v>
      </c>
      <c r="D28" s="242"/>
      <c r="E28" s="285" t="s">
        <v>29</v>
      </c>
      <c r="F28" s="243">
        <f>VLOOKUP($B26,'110 сб '!$C$17:$I$87,7,FALSE)</f>
        <v>730</v>
      </c>
      <c r="G28" s="243">
        <f>VLOOKUP($B26,высота!$C$17:$AF$42,30,FALSE)</f>
        <v>0</v>
      </c>
      <c r="H28" s="243">
        <f>VLOOKUP($B26,ядро!$C$17:$K$43,9,FALSE)</f>
        <v>826</v>
      </c>
      <c r="I28" s="243">
        <f>VLOOKUP($B26,'2_р'!$C$17:$I$68,7,FALSE)</f>
        <v>728</v>
      </c>
      <c r="J28" s="243">
        <f>VLOOKUP($B26,Дл_р!$C$17:$O$43,13,FALSE)</f>
        <v>643</v>
      </c>
      <c r="K28" s="243">
        <f>VLOOKUP($B26,К_р!$C$18:$K$31,9,FALSE)</f>
        <v>642</v>
      </c>
      <c r="L28" s="240">
        <f>VLOOKUP($B26,'8_р'!$C$17:$H$77,6,FALSE)</f>
        <v>666</v>
      </c>
      <c r="M28" s="152"/>
      <c r="N28" s="244"/>
      <c r="O28" s="152"/>
      <c r="P28" s="243">
        <f>B26</f>
        <v>64</v>
      </c>
      <c r="Q28" s="131" t="e">
        <f>$A26</f>
        <v>#N/A</v>
      </c>
      <c r="R28" s="131">
        <v>3</v>
      </c>
      <c r="S28" s="131" t="e">
        <f>$A26</f>
        <v>#N/A</v>
      </c>
      <c r="T28" s="236"/>
      <c r="U28" s="236"/>
      <c r="V28" s="236"/>
      <c r="W28" s="236"/>
      <c r="X28" s="236"/>
      <c r="Y28" s="236"/>
      <c r="Z28" s="253"/>
      <c r="AC28" s="131"/>
      <c r="AD28" s="131"/>
    </row>
    <row r="29" spans="1:30" s="123" customFormat="1" ht="13.2" customHeight="1" x14ac:dyDescent="0.35">
      <c r="A29" s="86"/>
      <c r="B29" s="86"/>
      <c r="C29" s="241" t="str">
        <f>VLOOKUP(B26,Уч!$A$2:$L$16,11,FALSE)</f>
        <v>Суханов С.М., Парфёнова С.О.</v>
      </c>
      <c r="D29" s="131"/>
      <c r="E29" s="285" t="s">
        <v>125</v>
      </c>
      <c r="F29" s="243">
        <f>F28</f>
        <v>730</v>
      </c>
      <c r="G29" s="243">
        <f t="shared" ref="G29:L29" si="4">F29+G28</f>
        <v>730</v>
      </c>
      <c r="H29" s="243">
        <f t="shared" si="4"/>
        <v>1556</v>
      </c>
      <c r="I29" s="243">
        <f t="shared" si="4"/>
        <v>2284</v>
      </c>
      <c r="J29" s="243">
        <f t="shared" si="4"/>
        <v>2927</v>
      </c>
      <c r="K29" s="243">
        <f t="shared" si="4"/>
        <v>3569</v>
      </c>
      <c r="L29" s="240">
        <f t="shared" si="4"/>
        <v>4235</v>
      </c>
      <c r="M29" s="152"/>
      <c r="N29" s="244"/>
      <c r="O29" s="152"/>
      <c r="P29" s="243">
        <f>B26</f>
        <v>64</v>
      </c>
      <c r="Q29" s="131" t="e">
        <f>$A26</f>
        <v>#N/A</v>
      </c>
      <c r="R29" s="131">
        <v>4</v>
      </c>
      <c r="S29" s="131" t="e">
        <f>$A26</f>
        <v>#N/A</v>
      </c>
      <c r="T29" s="152">
        <f t="shared" ref="T29:Z29" si="5">F29</f>
        <v>730</v>
      </c>
      <c r="U29" s="152">
        <f t="shared" si="5"/>
        <v>730</v>
      </c>
      <c r="V29" s="152">
        <f t="shared" si="5"/>
        <v>1556</v>
      </c>
      <c r="W29" s="152">
        <f t="shared" si="5"/>
        <v>2284</v>
      </c>
      <c r="X29" s="152">
        <f t="shared" si="5"/>
        <v>2927</v>
      </c>
      <c r="Y29" s="152">
        <f t="shared" si="5"/>
        <v>3569</v>
      </c>
      <c r="Z29" s="152">
        <f t="shared" si="5"/>
        <v>4235</v>
      </c>
      <c r="AC29" s="131"/>
      <c r="AD29" s="131"/>
    </row>
    <row r="30" spans="1:30" s="123" customFormat="1" ht="13.2" customHeight="1" thickBot="1" x14ac:dyDescent="0.4">
      <c r="A30" s="245"/>
      <c r="B30" s="245"/>
      <c r="C30" s="246">
        <f>VLOOKUP(B26,Уч!$A$2:$L$16,12,FALSE)</f>
        <v>0</v>
      </c>
      <c r="D30" s="247"/>
      <c r="E30" s="286" t="s">
        <v>60</v>
      </c>
      <c r="F30" s="249" t="e">
        <f>RANK(F29,$T$19:$T$85,0)</f>
        <v>#N/A</v>
      </c>
      <c r="G30" s="249" t="e">
        <f>RANK(G29,$U$19:$U$85,0)</f>
        <v>#N/A</v>
      </c>
      <c r="H30" s="249" t="e">
        <f>RANK(H29,$V$19:$V$85,0)</f>
        <v>#N/A</v>
      </c>
      <c r="I30" s="249" t="e">
        <f>RANK(I29,$W$19:$W$85,0)</f>
        <v>#N/A</v>
      </c>
      <c r="J30" s="249" t="e">
        <f>RANK(J29,$X$19:$X$85,0)</f>
        <v>#N/A</v>
      </c>
      <c r="K30" s="249" t="e">
        <f>RANK(K29,$Y$19:$Y$85,0)</f>
        <v>#N/A</v>
      </c>
      <c r="L30" s="250" t="e">
        <f>RANK(L29,$Z$19:$Z$85,0)</f>
        <v>#N/A</v>
      </c>
      <c r="M30" s="251"/>
      <c r="N30" s="252"/>
      <c r="O30" s="251"/>
      <c r="P30" s="243">
        <f>B26</f>
        <v>64</v>
      </c>
      <c r="Q30" s="131" t="e">
        <f>$A26</f>
        <v>#N/A</v>
      </c>
      <c r="R30" s="131">
        <v>5</v>
      </c>
      <c r="S30" s="131" t="e">
        <f>$A26</f>
        <v>#N/A</v>
      </c>
      <c r="T30" s="236"/>
      <c r="U30" s="236"/>
      <c r="V30" s="236"/>
      <c r="W30" s="236"/>
      <c r="X30" s="236"/>
      <c r="Y30" s="236"/>
      <c r="Z30" s="253"/>
      <c r="AC30" s="131"/>
      <c r="AD30" s="131"/>
    </row>
    <row r="31" spans="1:30" s="123" customFormat="1" ht="13.2" customHeight="1" thickTop="1" x14ac:dyDescent="0.35">
      <c r="A31" s="86" t="e">
        <f>RANK(M31,$M$16:$M$85,0)</f>
        <v>#N/A</v>
      </c>
      <c r="B31" s="86">
        <v>17</v>
      </c>
      <c r="C31" s="123" t="e">
        <f>VLOOKUP(B31,Уч!$A$2:$L$16,2,FALSE)</f>
        <v>#N/A</v>
      </c>
      <c r="D31" s="231" t="e">
        <f>VLOOKUP(B31,Уч!$A$2:$L$16,3,FALSE)</f>
        <v>#N/A</v>
      </c>
      <c r="E31" s="285" t="s">
        <v>18</v>
      </c>
      <c r="F31" s="233" t="e">
        <f>VLOOKUP($B31,'110 сб '!$C$17:$I$87,5,FALSE)</f>
        <v>#N/A</v>
      </c>
      <c r="G31" s="233" t="e">
        <f>VLOOKUP($B31,высота!$C$17:$AF$42,29,FALSE)</f>
        <v>#N/A</v>
      </c>
      <c r="H31" s="233" t="e">
        <f>VLOOKUP($B31,ядро!$C$17:$K$43,8,FALSE)</f>
        <v>#N/A</v>
      </c>
      <c r="I31" s="233" t="e">
        <f>VLOOKUP($B31,'2_р'!$C$17:$I$68,5,FALSE)</f>
        <v>#N/A</v>
      </c>
      <c r="J31" s="233" t="e">
        <f>VLOOKUP($B31,Дл_р!$C$17:$O$43,11,FALSE)</f>
        <v>#N/A</v>
      </c>
      <c r="K31" s="233" t="e">
        <f>VLOOKUP($B31,К_р!$C$18:$K$31,8,FALSE)</f>
        <v>#N/A</v>
      </c>
      <c r="L31" s="234" t="e">
        <f>VLOOKUP($B31,'8_р'!$C$17:$H$77,5,FALSE)</f>
        <v>#N/A</v>
      </c>
      <c r="M31" s="15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17</v>
      </c>
      <c r="Q31" s="131" t="e">
        <f>$A31</f>
        <v>#N/A</v>
      </c>
      <c r="R31" s="131">
        <v>1</v>
      </c>
      <c r="S31" s="131" t="e">
        <f>$A31</f>
        <v>#N/A</v>
      </c>
      <c r="T31" s="236"/>
      <c r="U31" s="236"/>
      <c r="V31" s="236"/>
      <c r="W31" s="236"/>
      <c r="X31" s="236"/>
      <c r="Y31" s="236"/>
      <c r="Z31" s="236"/>
      <c r="AC31" s="131" t="e">
        <f>IF(AND(Q31&gt;16,M31&gt;=4600),"1",LOOKUP(Q31,Q$5:AH$5,Q$6:AH$6))</f>
        <v>#N/A</v>
      </c>
      <c r="AD31" s="131" t="e">
        <f>LOOKUP(N31,R$8:W$8,R$9:W$9)</f>
        <v>#N/A</v>
      </c>
    </row>
    <row r="32" spans="1:30" s="123" customFormat="1" ht="13.2" customHeight="1" x14ac:dyDescent="0.35">
      <c r="A32" s="86"/>
      <c r="B32" s="86"/>
      <c r="C32" s="123" t="e">
        <f>VLOOKUP(B31,Уч!$A$2:$L$16,5,FALSE)</f>
        <v>#N/A</v>
      </c>
      <c r="D32" s="231" t="e">
        <f>VLOOKUP(B31,Уч!$A$2:$L$16,4,FALSE)</f>
        <v>#N/A</v>
      </c>
      <c r="E32" s="285" t="s">
        <v>25</v>
      </c>
      <c r="F32" s="238" t="e">
        <f>VLOOKUP($B31,'110 сб '!$C$17:$I$87,6,FALSE)</f>
        <v>#N/A</v>
      </c>
      <c r="G32" s="239"/>
      <c r="H32" s="239"/>
      <c r="I32" s="238" t="e">
        <f>VLOOKUP($B31,'2_р'!$C$17:$I$68,6,FALSE)</f>
        <v>#N/A</v>
      </c>
      <c r="J32" s="238" t="e">
        <f>VLOOKUP($B31,Дл_р!$C$17:$O$43,12,FALSE)</f>
        <v>#N/A</v>
      </c>
      <c r="K32" s="239"/>
      <c r="L32" s="240"/>
      <c r="M32" s="152"/>
      <c r="N32" s="86"/>
      <c r="O32" s="86" t="e">
        <f>CONCATENATE(AC31,"+",AD31,"+",5)</f>
        <v>#N/A</v>
      </c>
      <c r="P32" s="86">
        <f>B31</f>
        <v>17</v>
      </c>
      <c r="Q32" s="131" t="e">
        <f>$A31</f>
        <v>#N/A</v>
      </c>
      <c r="R32" s="131">
        <v>2</v>
      </c>
      <c r="S32" s="131" t="e">
        <f>$A31</f>
        <v>#N/A</v>
      </c>
      <c r="T32" s="236"/>
      <c r="U32" s="236"/>
      <c r="V32" s="236"/>
      <c r="W32" s="236"/>
      <c r="X32" s="236"/>
      <c r="Y32" s="236"/>
      <c r="Z32" s="236"/>
      <c r="AC32" s="131"/>
      <c r="AD32" s="131"/>
    </row>
    <row r="33" spans="1:30" s="123" customFormat="1" ht="13.2" customHeight="1" x14ac:dyDescent="0.35">
      <c r="A33" s="86"/>
      <c r="B33" s="86"/>
      <c r="C33" s="241" t="e">
        <f>VLOOKUP(B31,Уч!$A$2:$L$16,7,FALSE)</f>
        <v>#N/A</v>
      </c>
      <c r="D33" s="242"/>
      <c r="E33" s="285" t="s">
        <v>29</v>
      </c>
      <c r="F33" s="243" t="e">
        <f>VLOOKUP($B31,'110 сб '!$C$17:$I$87,7,FALSE)</f>
        <v>#N/A</v>
      </c>
      <c r="G33" s="243" t="e">
        <f>VLOOKUP($B31,высота!$C$17:$AF$42,30,FALSE)</f>
        <v>#N/A</v>
      </c>
      <c r="H33" s="243" t="e">
        <f>VLOOKUP($B31,ядро!$C$17:$K$43,9,FALSE)</f>
        <v>#N/A</v>
      </c>
      <c r="I33" s="243" t="e">
        <f>VLOOKUP($B31,'2_р'!$C$17:$I$68,7,FALSE)</f>
        <v>#N/A</v>
      </c>
      <c r="J33" s="243" t="e">
        <f>VLOOKUP($B31,Дл_р!$C$17:$O$43,13,FALSE)</f>
        <v>#N/A</v>
      </c>
      <c r="K33" s="243" t="e">
        <f>VLOOKUP($B31,К_р!$C$18:$K$31,9,FALSE)</f>
        <v>#N/A</v>
      </c>
      <c r="L33" s="240" t="e">
        <f>VLOOKUP($B31,'8_р'!$C$17:$H$77,6,FALSE)</f>
        <v>#N/A</v>
      </c>
      <c r="M33" s="152"/>
      <c r="N33" s="244"/>
      <c r="O33" s="152"/>
      <c r="P33" s="243">
        <f>B31</f>
        <v>17</v>
      </c>
      <c r="Q33" s="131" t="e">
        <f>$A31</f>
        <v>#N/A</v>
      </c>
      <c r="R33" s="131">
        <v>3</v>
      </c>
      <c r="S33" s="131" t="e">
        <f>$A31</f>
        <v>#N/A</v>
      </c>
      <c r="T33" s="236"/>
      <c r="U33" s="236"/>
      <c r="V33" s="236"/>
      <c r="W33" s="236"/>
      <c r="X33" s="236"/>
      <c r="Y33" s="236"/>
      <c r="Z33" s="236"/>
      <c r="AC33" s="131"/>
      <c r="AD33" s="131"/>
    </row>
    <row r="34" spans="1:30" s="123" customFormat="1" ht="13.2" customHeight="1" x14ac:dyDescent="0.35">
      <c r="A34" s="86"/>
      <c r="B34" s="86"/>
      <c r="C34" s="241" t="e">
        <f>VLOOKUP(B31,Уч!$A$2:$L$16,11,FALSE)</f>
        <v>#N/A</v>
      </c>
      <c r="D34" s="131"/>
      <c r="E34" s="285" t="s">
        <v>125</v>
      </c>
      <c r="F34" s="243" t="e">
        <f>F33</f>
        <v>#N/A</v>
      </c>
      <c r="G34" s="243" t="e">
        <f t="shared" ref="G34:L34" si="6">F34+G33</f>
        <v>#N/A</v>
      </c>
      <c r="H34" s="243" t="e">
        <f t="shared" si="6"/>
        <v>#N/A</v>
      </c>
      <c r="I34" s="243" t="e">
        <f t="shared" si="6"/>
        <v>#N/A</v>
      </c>
      <c r="J34" s="243" t="e">
        <f t="shared" si="6"/>
        <v>#N/A</v>
      </c>
      <c r="K34" s="243" t="e">
        <f t="shared" si="6"/>
        <v>#N/A</v>
      </c>
      <c r="L34" s="240" t="e">
        <f t="shared" si="6"/>
        <v>#N/A</v>
      </c>
      <c r="M34" s="152"/>
      <c r="N34" s="244"/>
      <c r="O34" s="152"/>
      <c r="P34" s="243">
        <f>B31</f>
        <v>17</v>
      </c>
      <c r="Q34" s="131" t="e">
        <f>$A31</f>
        <v>#N/A</v>
      </c>
      <c r="R34" s="131">
        <v>4</v>
      </c>
      <c r="S34" s="131" t="e">
        <f>$A31</f>
        <v>#N/A</v>
      </c>
      <c r="T34" s="152" t="e">
        <f t="shared" ref="T34:Z34" si="7">F34</f>
        <v>#N/A</v>
      </c>
      <c r="U34" s="152" t="e">
        <f t="shared" si="7"/>
        <v>#N/A</v>
      </c>
      <c r="V34" s="152" t="e">
        <f t="shared" si="7"/>
        <v>#N/A</v>
      </c>
      <c r="W34" s="152" t="e">
        <f t="shared" si="7"/>
        <v>#N/A</v>
      </c>
      <c r="X34" s="152" t="e">
        <f t="shared" si="7"/>
        <v>#N/A</v>
      </c>
      <c r="Y34" s="152" t="e">
        <f t="shared" si="7"/>
        <v>#N/A</v>
      </c>
      <c r="Z34" s="152" t="e">
        <f t="shared" si="7"/>
        <v>#N/A</v>
      </c>
      <c r="AC34" s="131"/>
      <c r="AD34" s="131"/>
    </row>
    <row r="35" spans="1:30" s="123" customFormat="1" ht="13.2" customHeight="1" thickBot="1" x14ac:dyDescent="0.4">
      <c r="A35" s="245"/>
      <c r="B35" s="245"/>
      <c r="C35" s="246" t="e">
        <f>VLOOKUP(B31,Уч!$A$2:$L$16,12,FALSE)</f>
        <v>#N/A</v>
      </c>
      <c r="D35" s="247"/>
      <c r="E35" s="286" t="s">
        <v>60</v>
      </c>
      <c r="F35" s="249" t="e">
        <f>RANK(F34,$T$19:$T$85,0)</f>
        <v>#N/A</v>
      </c>
      <c r="G35" s="249" t="e">
        <f>RANK(G34,$U$19:$U$85,0)</f>
        <v>#N/A</v>
      </c>
      <c r="H35" s="249" t="e">
        <f>RANK(H34,$V$19:$V$85,0)</f>
        <v>#N/A</v>
      </c>
      <c r="I35" s="249" t="e">
        <f>RANK(I34,$W$19:$W$85,0)</f>
        <v>#N/A</v>
      </c>
      <c r="J35" s="249" t="e">
        <f>RANK(J34,$X$19:$X$85,0)</f>
        <v>#N/A</v>
      </c>
      <c r="K35" s="249" t="e">
        <f>RANK(K34,$Y$19:$Y$85,0)</f>
        <v>#N/A</v>
      </c>
      <c r="L35" s="250" t="e">
        <f>RANK(L34,$Z$19:$Z$85,0)</f>
        <v>#N/A</v>
      </c>
      <c r="M35" s="251"/>
      <c r="N35" s="252"/>
      <c r="O35" s="251"/>
      <c r="P35" s="243">
        <f>B31</f>
        <v>17</v>
      </c>
      <c r="Q35" s="131" t="e">
        <f>$A31</f>
        <v>#N/A</v>
      </c>
      <c r="R35" s="131">
        <v>5</v>
      </c>
      <c r="S35" s="131" t="e">
        <f>$A31</f>
        <v>#N/A</v>
      </c>
      <c r="T35" s="236"/>
      <c r="U35" s="236"/>
      <c r="V35" s="236"/>
      <c r="W35" s="236"/>
      <c r="X35" s="236"/>
      <c r="Y35" s="236"/>
      <c r="Z35" s="236"/>
      <c r="AC35" s="131"/>
      <c r="AD35" s="131"/>
    </row>
    <row r="36" spans="1:30" s="123" customFormat="1" ht="13.2" customHeight="1" thickTop="1" x14ac:dyDescent="0.35">
      <c r="A36" s="86" t="e">
        <f>RANK(M36,$M$16:$M$85,0)</f>
        <v>#N/A</v>
      </c>
      <c r="B36" s="86">
        <v>3</v>
      </c>
      <c r="C36" s="123" t="e">
        <f>VLOOKUP(B36,Уч!$A$2:$L$16,2,FALSE)</f>
        <v>#N/A</v>
      </c>
      <c r="D36" s="231" t="e">
        <f>VLOOKUP(B36,Уч!$A$2:$L$16,3,FALSE)</f>
        <v>#N/A</v>
      </c>
      <c r="E36" s="285" t="s">
        <v>18</v>
      </c>
      <c r="F36" s="233" t="e">
        <f>VLOOKUP($B36,'110 сб '!$C$17:$I$87,5,FALSE)</f>
        <v>#N/A</v>
      </c>
      <c r="G36" s="233" t="e">
        <f>VLOOKUP($B36,высота!$C$17:$AF$42,29,FALSE)</f>
        <v>#N/A</v>
      </c>
      <c r="H36" s="233" t="e">
        <f>VLOOKUP($B36,ядро!$C$17:$K$43,8,FALSE)</f>
        <v>#N/A</v>
      </c>
      <c r="I36" s="233" t="e">
        <f>VLOOKUP($B36,'2_р'!$C$17:$I$68,5,FALSE)</f>
        <v>#N/A</v>
      </c>
      <c r="J36" s="233" t="e">
        <f>VLOOKUP($B36,Дл_р!$C$17:$O$43,11,FALSE)</f>
        <v>#N/A</v>
      </c>
      <c r="K36" s="233" t="e">
        <f>VLOOKUP($B36,К_р!$C$18:$K$31,8,FALSE)</f>
        <v>#N/A</v>
      </c>
      <c r="L36" s="234" t="e">
        <f>VLOOKUP($B36,'8_р'!$C$17:$H$77,5,FALSE)</f>
        <v>#N/A</v>
      </c>
      <c r="M36" s="152" t="e">
        <f>SUM(F38:L38)</f>
        <v>#N/A</v>
      </c>
      <c r="N36" s="86" t="e">
        <f>LOOKUP(M36,R$1:AA$1,R$2:AA$2)</f>
        <v>#N/A</v>
      </c>
      <c r="O36" s="86" t="e">
        <f>AC36+AD36+5</f>
        <v>#N/A</v>
      </c>
      <c r="P36" s="86">
        <f>B36</f>
        <v>3</v>
      </c>
      <c r="Q36" s="131" t="e">
        <f>$A36</f>
        <v>#N/A</v>
      </c>
      <c r="R36" s="131">
        <v>1</v>
      </c>
      <c r="S36" s="131" t="e">
        <f>$A36</f>
        <v>#N/A</v>
      </c>
      <c r="T36" s="236"/>
      <c r="U36" s="236"/>
      <c r="V36" s="236"/>
      <c r="W36" s="236"/>
      <c r="X36" s="236"/>
      <c r="Y36" s="236"/>
      <c r="Z36" s="236"/>
      <c r="AC36" s="131" t="e">
        <f>IF(AND(Q36&gt;16,M36&gt;=4600),"1",LOOKUP(Q36,Q$5:AH$5,Q$6:AH$6))</f>
        <v>#N/A</v>
      </c>
      <c r="AD36" s="131" t="e">
        <f>LOOKUP(N36,R$8:W$8,R$9:W$9)</f>
        <v>#N/A</v>
      </c>
    </row>
    <row r="37" spans="1:30" s="123" customFormat="1" ht="13.2" customHeight="1" x14ac:dyDescent="0.35">
      <c r="A37" s="86"/>
      <c r="B37" s="86"/>
      <c r="C37" s="123" t="e">
        <f>VLOOKUP(B36,Уч!$A$2:$L$16,5,FALSE)</f>
        <v>#N/A</v>
      </c>
      <c r="D37" s="231" t="e">
        <f>VLOOKUP(B36,Уч!$A$2:$L$16,4,FALSE)</f>
        <v>#N/A</v>
      </c>
      <c r="E37" s="285" t="s">
        <v>25</v>
      </c>
      <c r="F37" s="238" t="e">
        <f>VLOOKUP($B36,'110 сб '!$C$17:$I$87,6,FALSE)</f>
        <v>#N/A</v>
      </c>
      <c r="G37" s="239"/>
      <c r="H37" s="239"/>
      <c r="I37" s="238" t="e">
        <f>VLOOKUP($B36,'2_р'!$C$17:$I$68,6,FALSE)</f>
        <v>#N/A</v>
      </c>
      <c r="J37" s="238" t="e">
        <f>VLOOKUP($B36,Дл_р!$C$17:$O$43,12,FALSE)</f>
        <v>#N/A</v>
      </c>
      <c r="K37" s="239"/>
      <c r="L37" s="240"/>
      <c r="M37" s="152"/>
      <c r="N37" s="86"/>
      <c r="O37" s="86" t="e">
        <f>CONCATENATE(AC36,"+",AD36,"+",5)</f>
        <v>#N/A</v>
      </c>
      <c r="P37" s="86">
        <f>B36</f>
        <v>3</v>
      </c>
      <c r="Q37" s="131" t="e">
        <f>$A36</f>
        <v>#N/A</v>
      </c>
      <c r="R37" s="131">
        <v>2</v>
      </c>
      <c r="S37" s="131" t="e">
        <f>$A36</f>
        <v>#N/A</v>
      </c>
      <c r="T37" s="236"/>
      <c r="U37" s="236"/>
      <c r="V37" s="236"/>
      <c r="W37" s="236"/>
      <c r="X37" s="236"/>
      <c r="Y37" s="236"/>
      <c r="Z37" s="236"/>
      <c r="AC37" s="131"/>
      <c r="AD37" s="131"/>
    </row>
    <row r="38" spans="1:30" s="123" customFormat="1" ht="13.2" customHeight="1" x14ac:dyDescent="0.35">
      <c r="A38" s="86"/>
      <c r="B38" s="86"/>
      <c r="C38" s="241" t="e">
        <f>VLOOKUP(B36,Уч!$A$2:$L$16,7,FALSE)</f>
        <v>#N/A</v>
      </c>
      <c r="D38" s="242"/>
      <c r="E38" s="285" t="s">
        <v>29</v>
      </c>
      <c r="F38" s="243" t="e">
        <f>VLOOKUP($B36,'110 сб '!$C$17:$I$87,7,FALSE)</f>
        <v>#N/A</v>
      </c>
      <c r="G38" s="243" t="e">
        <f>VLOOKUP($B36,высота!$C$17:$AF$42,30,FALSE)</f>
        <v>#N/A</v>
      </c>
      <c r="H38" s="243" t="e">
        <f>VLOOKUP($B36,ядро!$C$17:$K$43,9,FALSE)</f>
        <v>#N/A</v>
      </c>
      <c r="I38" s="243" t="e">
        <f>VLOOKUP($B36,'2_р'!$C$17:$I$68,7,FALSE)</f>
        <v>#N/A</v>
      </c>
      <c r="J38" s="243" t="e">
        <f>VLOOKUP($B36,Дл_р!$C$17:$O$43,13,FALSE)</f>
        <v>#N/A</v>
      </c>
      <c r="K38" s="243" t="e">
        <f>VLOOKUP($B36,К_р!$C$18:$K$31,9,FALSE)</f>
        <v>#N/A</v>
      </c>
      <c r="L38" s="240" t="e">
        <f>VLOOKUP($B36,'8_р'!$C$17:$H$77,6,FALSE)</f>
        <v>#N/A</v>
      </c>
      <c r="M38" s="152"/>
      <c r="N38" s="244"/>
      <c r="O38" s="152"/>
      <c r="P38" s="243">
        <f>B36</f>
        <v>3</v>
      </c>
      <c r="Q38" s="131" t="e">
        <f>$A36</f>
        <v>#N/A</v>
      </c>
      <c r="R38" s="131">
        <v>3</v>
      </c>
      <c r="S38" s="131" t="e">
        <f>$A36</f>
        <v>#N/A</v>
      </c>
      <c r="T38" s="236"/>
      <c r="U38" s="236"/>
      <c r="V38" s="236"/>
      <c r="W38" s="236"/>
      <c r="X38" s="236"/>
      <c r="Y38" s="236"/>
      <c r="Z38" s="236"/>
      <c r="AC38" s="131"/>
      <c r="AD38" s="131"/>
    </row>
    <row r="39" spans="1:30" s="123" customFormat="1" ht="13.2" customHeight="1" x14ac:dyDescent="0.35">
      <c r="A39" s="86"/>
      <c r="B39" s="86"/>
      <c r="C39" s="241" t="e">
        <f>VLOOKUP(B36,Уч!$A$2:$L$16,11,FALSE)</f>
        <v>#N/A</v>
      </c>
      <c r="D39" s="131"/>
      <c r="E39" s="285" t="s">
        <v>125</v>
      </c>
      <c r="F39" s="243" t="e">
        <f>F38</f>
        <v>#N/A</v>
      </c>
      <c r="G39" s="243" t="e">
        <f t="shared" ref="G39:L39" si="8">F39+G38</f>
        <v>#N/A</v>
      </c>
      <c r="H39" s="243" t="e">
        <f t="shared" si="8"/>
        <v>#N/A</v>
      </c>
      <c r="I39" s="243" t="e">
        <f t="shared" si="8"/>
        <v>#N/A</v>
      </c>
      <c r="J39" s="243" t="e">
        <f t="shared" si="8"/>
        <v>#N/A</v>
      </c>
      <c r="K39" s="243" t="e">
        <f t="shared" si="8"/>
        <v>#N/A</v>
      </c>
      <c r="L39" s="240" t="e">
        <f t="shared" si="8"/>
        <v>#N/A</v>
      </c>
      <c r="M39" s="152"/>
      <c r="N39" s="244"/>
      <c r="O39" s="152"/>
      <c r="P39" s="243">
        <f>B36</f>
        <v>3</v>
      </c>
      <c r="Q39" s="131" t="e">
        <f>$A36</f>
        <v>#N/A</v>
      </c>
      <c r="R39" s="131">
        <v>4</v>
      </c>
      <c r="S39" s="131" t="e">
        <f>$A36</f>
        <v>#N/A</v>
      </c>
      <c r="T39" s="152" t="e">
        <f t="shared" ref="T39:Z39" si="9">F39</f>
        <v>#N/A</v>
      </c>
      <c r="U39" s="152" t="e">
        <f t="shared" si="9"/>
        <v>#N/A</v>
      </c>
      <c r="V39" s="152" t="e">
        <f t="shared" si="9"/>
        <v>#N/A</v>
      </c>
      <c r="W39" s="152" t="e">
        <f t="shared" si="9"/>
        <v>#N/A</v>
      </c>
      <c r="X39" s="152" t="e">
        <f t="shared" si="9"/>
        <v>#N/A</v>
      </c>
      <c r="Y39" s="152" t="e">
        <f t="shared" si="9"/>
        <v>#N/A</v>
      </c>
      <c r="Z39" s="152" t="e">
        <f t="shared" si="9"/>
        <v>#N/A</v>
      </c>
      <c r="AC39" s="131"/>
      <c r="AD39" s="131"/>
    </row>
    <row r="40" spans="1:30" s="123" customFormat="1" ht="13.2" customHeight="1" thickBot="1" x14ac:dyDescent="0.4">
      <c r="A40" s="245"/>
      <c r="B40" s="245"/>
      <c r="C40" s="246" t="e">
        <f>VLOOKUP(B36,Уч!$A$2:$L$16,12,FALSE)</f>
        <v>#N/A</v>
      </c>
      <c r="D40" s="247"/>
      <c r="E40" s="286" t="s">
        <v>60</v>
      </c>
      <c r="F40" s="249" t="e">
        <f>RANK(F39,$T$19:$T$85,0)</f>
        <v>#N/A</v>
      </c>
      <c r="G40" s="249" t="e">
        <f>RANK(G39,$U$19:$U$85,0)</f>
        <v>#N/A</v>
      </c>
      <c r="H40" s="249" t="e">
        <f>RANK(H39,$V$19:$V$85,0)</f>
        <v>#N/A</v>
      </c>
      <c r="I40" s="249" t="e">
        <f>RANK(I39,$W$19:$W$85,0)</f>
        <v>#N/A</v>
      </c>
      <c r="J40" s="249" t="e">
        <f>RANK(J39,$X$19:$X$85,0)</f>
        <v>#N/A</v>
      </c>
      <c r="K40" s="249" t="e">
        <f>RANK(K39,$Y$19:$Y$85,0)</f>
        <v>#N/A</v>
      </c>
      <c r="L40" s="250" t="e">
        <f>RANK(L39,$Z$19:$Z$85,0)</f>
        <v>#N/A</v>
      </c>
      <c r="M40" s="251"/>
      <c r="N40" s="252"/>
      <c r="O40" s="251"/>
      <c r="P40" s="243">
        <f>B36</f>
        <v>3</v>
      </c>
      <c r="Q40" s="131" t="e">
        <f>$A36</f>
        <v>#N/A</v>
      </c>
      <c r="R40" s="131">
        <v>5</v>
      </c>
      <c r="S40" s="131" t="e">
        <f>$A36</f>
        <v>#N/A</v>
      </c>
      <c r="T40" s="236"/>
      <c r="U40" s="236"/>
      <c r="V40" s="236"/>
      <c r="W40" s="236"/>
      <c r="X40" s="236"/>
      <c r="Y40" s="236"/>
      <c r="Z40" s="236"/>
      <c r="AC40" s="131"/>
      <c r="AD40" s="131"/>
    </row>
    <row r="41" spans="1:30" s="123" customFormat="1" ht="13.2" customHeight="1" thickTop="1" x14ac:dyDescent="0.35">
      <c r="A41" s="86" t="e">
        <f>RANK(M41,$M$16:$M$85,0)</f>
        <v>#N/A</v>
      </c>
      <c r="B41" s="86">
        <v>4</v>
      </c>
      <c r="C41" s="123" t="e">
        <f>VLOOKUP(B41,Уч!$A$2:$L$16,2,FALSE)</f>
        <v>#N/A</v>
      </c>
      <c r="D41" s="231" t="e">
        <f>VLOOKUP(B41,Уч!$A$2:$L$16,3,FALSE)</f>
        <v>#N/A</v>
      </c>
      <c r="E41" s="285" t="s">
        <v>18</v>
      </c>
      <c r="F41" s="233" t="e">
        <f>VLOOKUP($B41,'110 сб '!$C$17:$I$87,5,FALSE)</f>
        <v>#N/A</v>
      </c>
      <c r="G41" s="233" t="e">
        <f>VLOOKUP($B41,высота!$C$17:$AF$42,29,FALSE)</f>
        <v>#N/A</v>
      </c>
      <c r="H41" s="233" t="e">
        <f>VLOOKUP($B41,ядро!$C$17:$K$43,8,FALSE)</f>
        <v>#N/A</v>
      </c>
      <c r="I41" s="233" t="e">
        <f>VLOOKUP($B41,'2_р'!$C$17:$I$68,5,FALSE)</f>
        <v>#N/A</v>
      </c>
      <c r="J41" s="233" t="e">
        <f>VLOOKUP($B41,Дл_р!$C$17:$O$43,11,FALSE)</f>
        <v>#N/A</v>
      </c>
      <c r="K41" s="233" t="e">
        <f>VLOOKUP($B41,К_р!$C$18:$K$31,8,FALSE)</f>
        <v>#N/A</v>
      </c>
      <c r="L41" s="234" t="e">
        <f>VLOOKUP($B41,'8_р'!$C$17:$H$77,5,FALSE)</f>
        <v>#N/A</v>
      </c>
      <c r="M41" s="152" t="e">
        <f>SUM(F43:L43)</f>
        <v>#N/A</v>
      </c>
      <c r="N41" s="86" t="e">
        <f>LOOKUP(M41,R$1:AA$1,R$2:AA$2)</f>
        <v>#N/A</v>
      </c>
      <c r="O41" s="86" t="e">
        <f>AC41+AD41+5</f>
        <v>#N/A</v>
      </c>
      <c r="P41" s="86">
        <f>B41</f>
        <v>4</v>
      </c>
      <c r="Q41" s="131" t="e">
        <f>$A41</f>
        <v>#N/A</v>
      </c>
      <c r="R41" s="131">
        <v>1</v>
      </c>
      <c r="S41" s="131" t="e">
        <f>$A41</f>
        <v>#N/A</v>
      </c>
      <c r="T41" s="254"/>
      <c r="U41" s="254"/>
      <c r="V41" s="254"/>
      <c r="W41" s="254"/>
      <c r="X41" s="254"/>
      <c r="Y41" s="254"/>
      <c r="Z41" s="254"/>
      <c r="AB41" s="86"/>
      <c r="AC41" s="131" t="e">
        <f>IF(AND(Q41&gt;16,M41&gt;=4600),"1",LOOKUP(Q41,Q$5:AH$5,Q$6:AH$6))</f>
        <v>#N/A</v>
      </c>
      <c r="AD41" s="131" t="e">
        <f>LOOKUP(N41,R$8:W$8,R$9:W$9)</f>
        <v>#N/A</v>
      </c>
    </row>
    <row r="42" spans="1:30" s="123" customFormat="1" ht="13.2" customHeight="1" x14ac:dyDescent="0.35">
      <c r="A42" s="86"/>
      <c r="B42" s="86"/>
      <c r="C42" s="123" t="e">
        <f>VLOOKUP(B41,Уч!$A$2:$L$16,5,FALSE)</f>
        <v>#N/A</v>
      </c>
      <c r="D42" s="255" t="e">
        <f>VLOOKUP(B41,Уч!$A$2:$L$16,4,FALSE)</f>
        <v>#N/A</v>
      </c>
      <c r="E42" s="285" t="s">
        <v>25</v>
      </c>
      <c r="F42" s="238" t="e">
        <f>VLOOKUP($B41,'110 сб '!$C$17:$I$87,6,FALSE)</f>
        <v>#N/A</v>
      </c>
      <c r="G42" s="239"/>
      <c r="H42" s="239"/>
      <c r="I42" s="238" t="e">
        <f>VLOOKUP($B41,'2_р'!$C$17:$I$68,6,FALSE)</f>
        <v>#N/A</v>
      </c>
      <c r="J42" s="238" t="e">
        <f>VLOOKUP($B41,Дл_р!$C$17:$O$43,12,FALSE)</f>
        <v>#N/A</v>
      </c>
      <c r="K42" s="239"/>
      <c r="L42" s="240"/>
      <c r="M42" s="152"/>
      <c r="N42" s="86"/>
      <c r="O42" s="86" t="e">
        <f>CONCATENATE(AC41,"+",AD41,"+",5)</f>
        <v>#N/A</v>
      </c>
      <c r="P42" s="86">
        <f>B41</f>
        <v>4</v>
      </c>
      <c r="Q42" s="131" t="e">
        <f>$A41</f>
        <v>#N/A</v>
      </c>
      <c r="R42" s="131">
        <v>2</v>
      </c>
      <c r="S42" s="131" t="e">
        <f>$A41</f>
        <v>#N/A</v>
      </c>
      <c r="T42" s="254"/>
      <c r="U42" s="254"/>
      <c r="V42" s="254"/>
      <c r="W42" s="254"/>
      <c r="X42" s="254"/>
      <c r="Y42" s="254"/>
      <c r="Z42" s="254"/>
      <c r="AB42" s="86"/>
      <c r="AC42" s="131"/>
      <c r="AD42" s="131"/>
    </row>
    <row r="43" spans="1:30" s="123" customFormat="1" ht="13.2" customHeight="1" x14ac:dyDescent="0.35">
      <c r="A43" s="86"/>
      <c r="B43" s="86"/>
      <c r="C43" s="241" t="e">
        <f>VLOOKUP(B41,Уч!$A$2:$L$16,7,FALSE)</f>
        <v>#N/A</v>
      </c>
      <c r="D43" s="242"/>
      <c r="E43" s="285" t="s">
        <v>29</v>
      </c>
      <c r="F43" s="243" t="e">
        <f>VLOOKUP($B41,'110 сб '!$C$17:$I$87,7,FALSE)</f>
        <v>#N/A</v>
      </c>
      <c r="G43" s="243" t="e">
        <f>VLOOKUP($B41,высота!$C$17:$AF$42,30,FALSE)</f>
        <v>#N/A</v>
      </c>
      <c r="H43" s="243" t="e">
        <f>VLOOKUP($B41,ядро!$C$17:$K$43,9,FALSE)</f>
        <v>#N/A</v>
      </c>
      <c r="I43" s="243" t="e">
        <f>VLOOKUP($B41,'2_р'!$C$17:$I$68,7,FALSE)</f>
        <v>#N/A</v>
      </c>
      <c r="J43" s="243" t="e">
        <f>VLOOKUP($B41,Дл_р!$C$17:$O$43,13,FALSE)</f>
        <v>#N/A</v>
      </c>
      <c r="K43" s="243" t="e">
        <f>VLOOKUP($B41,К_р!$C$18:$K$31,9,FALSE)</f>
        <v>#N/A</v>
      </c>
      <c r="L43" s="240" t="e">
        <f>VLOOKUP($B41,'8_р'!$C$17:$H$77,6,FALSE)</f>
        <v>#N/A</v>
      </c>
      <c r="M43" s="152"/>
      <c r="N43" s="244"/>
      <c r="O43" s="152"/>
      <c r="P43" s="243">
        <f>B41</f>
        <v>4</v>
      </c>
      <c r="Q43" s="131" t="e">
        <f>$A41</f>
        <v>#N/A</v>
      </c>
      <c r="R43" s="131">
        <v>3</v>
      </c>
      <c r="S43" s="131" t="e">
        <f>$A41</f>
        <v>#N/A</v>
      </c>
      <c r="T43" s="254"/>
      <c r="U43" s="254"/>
      <c r="V43" s="254"/>
      <c r="W43" s="254"/>
      <c r="X43" s="254"/>
      <c r="Y43" s="254"/>
      <c r="Z43" s="254"/>
      <c r="AB43" s="86"/>
      <c r="AC43" s="131"/>
      <c r="AD43" s="131"/>
    </row>
    <row r="44" spans="1:30" s="123" customFormat="1" ht="13.2" customHeight="1" x14ac:dyDescent="0.35">
      <c r="A44" s="86"/>
      <c r="B44" s="86"/>
      <c r="C44" s="241" t="e">
        <f>VLOOKUP(B41,Уч!$A$2:$L$16,11,FALSE)</f>
        <v>#N/A</v>
      </c>
      <c r="D44" s="131"/>
      <c r="E44" s="285" t="s">
        <v>125</v>
      </c>
      <c r="F44" s="243" t="e">
        <f>F43</f>
        <v>#N/A</v>
      </c>
      <c r="G44" s="243" t="e">
        <f t="shared" ref="G44:L44" si="10">F44+G43</f>
        <v>#N/A</v>
      </c>
      <c r="H44" s="243" t="e">
        <f t="shared" si="10"/>
        <v>#N/A</v>
      </c>
      <c r="I44" s="243" t="e">
        <f t="shared" si="10"/>
        <v>#N/A</v>
      </c>
      <c r="J44" s="243" t="e">
        <f t="shared" si="10"/>
        <v>#N/A</v>
      </c>
      <c r="K44" s="243" t="e">
        <f t="shared" si="10"/>
        <v>#N/A</v>
      </c>
      <c r="L44" s="240" t="e">
        <f t="shared" si="10"/>
        <v>#N/A</v>
      </c>
      <c r="M44" s="152"/>
      <c r="N44" s="244"/>
      <c r="O44" s="152"/>
      <c r="P44" s="243">
        <f>B41</f>
        <v>4</v>
      </c>
      <c r="Q44" s="131" t="e">
        <f>$A41</f>
        <v>#N/A</v>
      </c>
      <c r="R44" s="131">
        <v>4</v>
      </c>
      <c r="S44" s="131" t="e">
        <f>$A41</f>
        <v>#N/A</v>
      </c>
      <c r="T44" s="152" t="e">
        <f t="shared" ref="T44:Z44" si="11">F44</f>
        <v>#N/A</v>
      </c>
      <c r="U44" s="152" t="e">
        <f t="shared" si="11"/>
        <v>#N/A</v>
      </c>
      <c r="V44" s="152" t="e">
        <f t="shared" si="11"/>
        <v>#N/A</v>
      </c>
      <c r="W44" s="152" t="e">
        <f t="shared" si="11"/>
        <v>#N/A</v>
      </c>
      <c r="X44" s="152" t="e">
        <f t="shared" si="11"/>
        <v>#N/A</v>
      </c>
      <c r="Y44" s="152" t="e">
        <f t="shared" si="11"/>
        <v>#N/A</v>
      </c>
      <c r="Z44" s="152" t="e">
        <f t="shared" si="11"/>
        <v>#N/A</v>
      </c>
      <c r="AB44" s="86"/>
      <c r="AC44" s="131"/>
      <c r="AD44" s="131"/>
    </row>
    <row r="45" spans="1:30" s="123" customFormat="1" ht="13.2" customHeight="1" thickBot="1" x14ac:dyDescent="0.4">
      <c r="A45" s="245"/>
      <c r="B45" s="245"/>
      <c r="C45" s="246" t="e">
        <f>VLOOKUP(B41,Уч!$A$2:$L$16,12,FALSE)</f>
        <v>#N/A</v>
      </c>
      <c r="D45" s="247"/>
      <c r="E45" s="286" t="s">
        <v>60</v>
      </c>
      <c r="F45" s="249" t="e">
        <f>RANK(F44,$T$19:$T$85,0)</f>
        <v>#N/A</v>
      </c>
      <c r="G45" s="249" t="e">
        <f>RANK(G44,$U$19:$U$85,0)</f>
        <v>#N/A</v>
      </c>
      <c r="H45" s="249" t="e">
        <f>RANK(H44,$V$19:$V$85,0)</f>
        <v>#N/A</v>
      </c>
      <c r="I45" s="249" t="e">
        <f>RANK(I44,$W$19:$W$85,0)</f>
        <v>#N/A</v>
      </c>
      <c r="J45" s="249" t="e">
        <f>RANK(J44,$X$19:$X$85,0)</f>
        <v>#N/A</v>
      </c>
      <c r="K45" s="249" t="e">
        <f>RANK(K44,$Y$19:$Y$85,0)</f>
        <v>#N/A</v>
      </c>
      <c r="L45" s="250" t="e">
        <f>RANK(L44,$Z$19:$Z$85,0)</f>
        <v>#N/A</v>
      </c>
      <c r="M45" s="251"/>
      <c r="N45" s="252"/>
      <c r="O45" s="251"/>
      <c r="P45" s="243">
        <f>B41</f>
        <v>4</v>
      </c>
      <c r="Q45" s="131" t="e">
        <f>$A41</f>
        <v>#N/A</v>
      </c>
      <c r="R45" s="131">
        <v>5</v>
      </c>
      <c r="S45" s="131" t="e">
        <f>$A41</f>
        <v>#N/A</v>
      </c>
      <c r="T45" s="254"/>
      <c r="U45" s="254"/>
      <c r="V45" s="254"/>
      <c r="W45" s="254"/>
      <c r="X45" s="254"/>
      <c r="Y45" s="254"/>
      <c r="Z45" s="254"/>
      <c r="AB45" s="86"/>
      <c r="AC45" s="131"/>
      <c r="AD45" s="131"/>
    </row>
    <row r="46" spans="1:30" s="123" customFormat="1" ht="13.2" customHeight="1" thickTop="1" x14ac:dyDescent="0.35">
      <c r="A46" s="86" t="e">
        <f>RANK(M46,$M$16:$M$85,0)</f>
        <v>#N/A</v>
      </c>
      <c r="B46" s="86">
        <v>59</v>
      </c>
      <c r="C46" s="123" t="e">
        <f>VLOOKUP(B46,Уч!$A$2:$L$16,2,FALSE)</f>
        <v>#N/A</v>
      </c>
      <c r="D46" s="231" t="e">
        <f>VLOOKUP(B46,Уч!$A$2:$L$16,3,FALSE)</f>
        <v>#N/A</v>
      </c>
      <c r="E46" s="285" t="s">
        <v>18</v>
      </c>
      <c r="F46" s="233" t="e">
        <f>VLOOKUP($B46,'110 сб '!$C$17:$I$87,5,FALSE)</f>
        <v>#N/A</v>
      </c>
      <c r="G46" s="233" t="e">
        <f>VLOOKUP($B46,высота!$C$17:$AF$42,29,FALSE)</f>
        <v>#N/A</v>
      </c>
      <c r="H46" s="233" t="e">
        <f>VLOOKUP($B46,ядро!$C$17:$K$43,8,FALSE)</f>
        <v>#N/A</v>
      </c>
      <c r="I46" s="233" t="e">
        <f>VLOOKUP($B46,'2_р'!$C$17:$I$68,5,FALSE)</f>
        <v>#N/A</v>
      </c>
      <c r="J46" s="233" t="e">
        <f>VLOOKUP($B46,Дл_р!$C$17:$O$43,11,FALSE)</f>
        <v>#N/A</v>
      </c>
      <c r="K46" s="233" t="e">
        <f>VLOOKUP($B46,К_р!$C$18:$K$31,8,FALSE)</f>
        <v>#N/A</v>
      </c>
      <c r="L46" s="234">
        <f>VLOOKUP($B46,'8_р'!$C$17:$H$77,5,FALSE)</f>
        <v>0</v>
      </c>
      <c r="M46" s="152" t="e">
        <f>SUM(F48:L48)</f>
        <v>#N/A</v>
      </c>
      <c r="N46" s="86" t="e">
        <f>LOOKUP(M46,R$1:AA$1,R$2:AA$2)</f>
        <v>#N/A</v>
      </c>
      <c r="O46" s="86" t="e">
        <f>AC46+AD46+5</f>
        <v>#N/A</v>
      </c>
      <c r="P46" s="86">
        <f>B46</f>
        <v>59</v>
      </c>
      <c r="Q46" s="131" t="e">
        <f>$A46</f>
        <v>#N/A</v>
      </c>
      <c r="R46" s="131">
        <v>1</v>
      </c>
      <c r="S46" s="131" t="e">
        <f>$A46</f>
        <v>#N/A</v>
      </c>
      <c r="T46" s="254"/>
      <c r="U46" s="254"/>
      <c r="V46" s="254"/>
      <c r="W46" s="254"/>
      <c r="X46" s="254"/>
      <c r="Y46" s="254"/>
      <c r="Z46" s="254"/>
      <c r="AA46" s="131"/>
      <c r="AC46" s="131" t="e">
        <f>IF(AND(Q46&gt;16,M46&gt;=4600),"1",LOOKUP(Q46,Q$5:AH$5,Q$6:AH$6))</f>
        <v>#N/A</v>
      </c>
      <c r="AD46" s="131" t="e">
        <f>LOOKUP(N46,R$8:W$8,R$9:W$9)</f>
        <v>#N/A</v>
      </c>
    </row>
    <row r="47" spans="1:30" s="123" customFormat="1" ht="13.2" customHeight="1" x14ac:dyDescent="0.35">
      <c r="A47" s="86"/>
      <c r="B47" s="86"/>
      <c r="C47" s="123" t="e">
        <f>VLOOKUP(B46,Уч!$A$2:$L$16,5,FALSE)</f>
        <v>#N/A</v>
      </c>
      <c r="D47" s="231" t="e">
        <f>VLOOKUP(B46,Уч!$A$2:$L$16,4,FALSE)</f>
        <v>#N/A</v>
      </c>
      <c r="E47" s="285" t="s">
        <v>25</v>
      </c>
      <c r="F47" s="238" t="e">
        <f>VLOOKUP($B46,'110 сб '!$C$17:$I$87,6,FALSE)</f>
        <v>#N/A</v>
      </c>
      <c r="G47" s="239"/>
      <c r="H47" s="239"/>
      <c r="I47" s="238" t="e">
        <f>VLOOKUP($B46,'2_р'!$C$17:$I$68,6,FALSE)</f>
        <v>#N/A</v>
      </c>
      <c r="J47" s="238" t="e">
        <f>VLOOKUP($B46,Дл_р!$C$17:$O$43,12,FALSE)</f>
        <v>#N/A</v>
      </c>
      <c r="K47" s="239"/>
      <c r="L47" s="240"/>
      <c r="M47" s="152"/>
      <c r="N47" s="86"/>
      <c r="O47" s="86" t="e">
        <f>CONCATENATE(AC46,"+",AD46,"+",5)</f>
        <v>#N/A</v>
      </c>
      <c r="P47" s="86">
        <f>B46</f>
        <v>59</v>
      </c>
      <c r="Q47" s="131" t="e">
        <f>$A46</f>
        <v>#N/A</v>
      </c>
      <c r="R47" s="131">
        <v>2</v>
      </c>
      <c r="S47" s="131" t="e">
        <f>$A46</f>
        <v>#N/A</v>
      </c>
      <c r="T47" s="254"/>
      <c r="U47" s="254"/>
      <c r="V47" s="254"/>
      <c r="W47" s="254"/>
      <c r="X47" s="254"/>
      <c r="Y47" s="254"/>
      <c r="Z47" s="254"/>
      <c r="AA47" s="131"/>
      <c r="AC47" s="131"/>
      <c r="AD47" s="131"/>
    </row>
    <row r="48" spans="1:30" s="123" customFormat="1" ht="13.2" customHeight="1" x14ac:dyDescent="0.35">
      <c r="A48" s="86"/>
      <c r="B48" s="86"/>
      <c r="C48" s="241" t="e">
        <f>VLOOKUP(B46,Уч!$A$2:$L$16,7,FALSE)</f>
        <v>#N/A</v>
      </c>
      <c r="D48" s="242"/>
      <c r="E48" s="285" t="s">
        <v>29</v>
      </c>
      <c r="F48" s="243" t="e">
        <f>VLOOKUP($B46,'110 сб '!$C$17:$I$87,7,FALSE)</f>
        <v>#N/A</v>
      </c>
      <c r="G48" s="243" t="e">
        <f>VLOOKUP($B46,высота!$C$17:$AF$42,30,FALSE)</f>
        <v>#N/A</v>
      </c>
      <c r="H48" s="243" t="e">
        <f>VLOOKUP($B46,ядро!$C$17:$K$43,9,FALSE)</f>
        <v>#N/A</v>
      </c>
      <c r="I48" s="243" t="e">
        <f>VLOOKUP($B46,'2_р'!$C$17:$I$68,7,FALSE)</f>
        <v>#N/A</v>
      </c>
      <c r="J48" s="243" t="e">
        <f>VLOOKUP($B46,Дл_р!$C$17:$O$43,13,FALSE)</f>
        <v>#N/A</v>
      </c>
      <c r="K48" s="243" t="e">
        <f>VLOOKUP($B46,К_р!$C$18:$K$31,9,FALSE)</f>
        <v>#N/A</v>
      </c>
      <c r="L48" s="240">
        <f>VLOOKUP($B46,'8_р'!$C$17:$H$77,6,FALSE)</f>
        <v>0</v>
      </c>
      <c r="M48" s="152"/>
      <c r="N48" s="244"/>
      <c r="O48" s="152"/>
      <c r="P48" s="243">
        <f>B46</f>
        <v>59</v>
      </c>
      <c r="Q48" s="131" t="e">
        <f>$A46</f>
        <v>#N/A</v>
      </c>
      <c r="R48" s="131">
        <v>3</v>
      </c>
      <c r="S48" s="131" t="e">
        <f>$A46</f>
        <v>#N/A</v>
      </c>
      <c r="T48" s="254"/>
      <c r="U48" s="254"/>
      <c r="V48" s="254"/>
      <c r="W48" s="254"/>
      <c r="X48" s="254"/>
      <c r="Y48" s="254"/>
      <c r="Z48" s="254"/>
      <c r="AA48" s="131"/>
      <c r="AC48" s="131"/>
      <c r="AD48" s="131"/>
    </row>
    <row r="49" spans="1:30" s="123" customFormat="1" ht="13.2" customHeight="1" x14ac:dyDescent="0.35">
      <c r="A49" s="86"/>
      <c r="B49" s="86"/>
      <c r="C49" s="241" t="e">
        <f>VLOOKUP(B46,Уч!$A$2:$L$16,11,FALSE)</f>
        <v>#N/A</v>
      </c>
      <c r="D49" s="131"/>
      <c r="E49" s="285" t="s">
        <v>125</v>
      </c>
      <c r="F49" s="243" t="e">
        <f>F48</f>
        <v>#N/A</v>
      </c>
      <c r="G49" s="243" t="e">
        <f t="shared" ref="G49:L49" si="12">F49+G48</f>
        <v>#N/A</v>
      </c>
      <c r="H49" s="243" t="e">
        <f t="shared" si="12"/>
        <v>#N/A</v>
      </c>
      <c r="I49" s="243" t="e">
        <f t="shared" si="12"/>
        <v>#N/A</v>
      </c>
      <c r="J49" s="243" t="e">
        <f t="shared" si="12"/>
        <v>#N/A</v>
      </c>
      <c r="K49" s="243" t="e">
        <f t="shared" si="12"/>
        <v>#N/A</v>
      </c>
      <c r="L49" s="240" t="e">
        <f t="shared" si="12"/>
        <v>#N/A</v>
      </c>
      <c r="M49" s="152"/>
      <c r="N49" s="244"/>
      <c r="O49" s="152"/>
      <c r="P49" s="243">
        <f>B46</f>
        <v>59</v>
      </c>
      <c r="Q49" s="131" t="e">
        <f>$A46</f>
        <v>#N/A</v>
      </c>
      <c r="R49" s="131">
        <v>4</v>
      </c>
      <c r="S49" s="131" t="e">
        <f>$A46</f>
        <v>#N/A</v>
      </c>
      <c r="T49" s="152" t="e">
        <f t="shared" ref="T49:Z49" si="13">F49</f>
        <v>#N/A</v>
      </c>
      <c r="U49" s="152" t="e">
        <f t="shared" si="13"/>
        <v>#N/A</v>
      </c>
      <c r="V49" s="152" t="e">
        <f t="shared" si="13"/>
        <v>#N/A</v>
      </c>
      <c r="W49" s="152" t="e">
        <f t="shared" si="13"/>
        <v>#N/A</v>
      </c>
      <c r="X49" s="152" t="e">
        <f t="shared" si="13"/>
        <v>#N/A</v>
      </c>
      <c r="Y49" s="152" t="e">
        <f t="shared" si="13"/>
        <v>#N/A</v>
      </c>
      <c r="Z49" s="152" t="e">
        <f t="shared" si="13"/>
        <v>#N/A</v>
      </c>
      <c r="AA49" s="131"/>
      <c r="AC49" s="131"/>
      <c r="AD49" s="131"/>
    </row>
    <row r="50" spans="1:30" s="123" customFormat="1" ht="13.2" customHeight="1" thickBot="1" x14ac:dyDescent="0.4">
      <c r="A50" s="245"/>
      <c r="B50" s="245"/>
      <c r="C50" s="246" t="e">
        <f>VLOOKUP(B46,Уч!$A$2:$L$16,12,FALSE)</f>
        <v>#N/A</v>
      </c>
      <c r="D50" s="247"/>
      <c r="E50" s="286" t="s">
        <v>60</v>
      </c>
      <c r="F50" s="249" t="e">
        <f>RANK(F49,$T$19:$T$85,0)</f>
        <v>#N/A</v>
      </c>
      <c r="G50" s="249" t="e">
        <f>RANK(G49,$U$19:$U$85,0)</f>
        <v>#N/A</v>
      </c>
      <c r="H50" s="249" t="e">
        <f>RANK(H49,$V$19:$V$85,0)</f>
        <v>#N/A</v>
      </c>
      <c r="I50" s="249" t="e">
        <f>RANK(I49,$W$19:$W$85,0)</f>
        <v>#N/A</v>
      </c>
      <c r="J50" s="249" t="e">
        <f>RANK(J49,$X$19:$X$85,0)</f>
        <v>#N/A</v>
      </c>
      <c r="K50" s="249" t="e">
        <f>RANK(K49,$Y$19:$Y$85,0)</f>
        <v>#N/A</v>
      </c>
      <c r="L50" s="250" t="e">
        <f>RANK(L49,$Z$19:$Z$85,0)</f>
        <v>#N/A</v>
      </c>
      <c r="M50" s="251"/>
      <c r="N50" s="252"/>
      <c r="O50" s="251"/>
      <c r="P50" s="243">
        <f>B46</f>
        <v>59</v>
      </c>
      <c r="Q50" s="131" t="e">
        <f>$A46</f>
        <v>#N/A</v>
      </c>
      <c r="R50" s="131">
        <v>5</v>
      </c>
      <c r="S50" s="131" t="e">
        <f>$A46</f>
        <v>#N/A</v>
      </c>
      <c r="T50" s="254"/>
      <c r="U50" s="254"/>
      <c r="V50" s="254"/>
      <c r="W50" s="254"/>
      <c r="X50" s="254"/>
      <c r="Y50" s="254"/>
      <c r="Z50" s="254"/>
      <c r="AA50" s="131"/>
      <c r="AC50" s="131"/>
      <c r="AD50" s="131"/>
    </row>
    <row r="51" spans="1:30" s="123" customFormat="1" ht="13.2" customHeight="1" thickTop="1" x14ac:dyDescent="0.35">
      <c r="A51" s="86" t="e">
        <f>RANK(M51,$M$16:$M$85,0)</f>
        <v>#N/A</v>
      </c>
      <c r="B51" s="86">
        <v>8</v>
      </c>
      <c r="C51" s="123" t="str">
        <f>VLOOKUP(B51,Уч!$A$2:$L$16,2,FALSE)</f>
        <v>Бутвина Александра</v>
      </c>
      <c r="D51" s="231" t="str">
        <f>VLOOKUP(B51,Уч!$A$2:$L$16,3,FALSE)</f>
        <v>14.02.1986</v>
      </c>
      <c r="E51" s="285" t="s">
        <v>18</v>
      </c>
      <c r="F51" s="233">
        <f>VLOOKUP($B51,'110 сб '!$C$17:$I$87,5,FALSE)</f>
        <v>14.98</v>
      </c>
      <c r="G51" s="233">
        <f>VLOOKUP($B51,высота!$C$17:$AF$42,29,FALSE)</f>
        <v>1.62</v>
      </c>
      <c r="H51" s="233">
        <f>VLOOKUP($B51,ядро!$C$17:$K$43,8,FALSE)</f>
        <v>12.17</v>
      </c>
      <c r="I51" s="233" t="e">
        <f>VLOOKUP($B51,'2_р'!$C$17:$I$68,5,FALSE)</f>
        <v>#N/A</v>
      </c>
      <c r="J51" s="233" t="e">
        <f>VLOOKUP($B51,Дл_р!$C$17:$O$43,11,FALSE)</f>
        <v>#N/A</v>
      </c>
      <c r="K51" s="233" t="e">
        <f>VLOOKUP($B51,К_р!$C$18:$K$31,8,FALSE)</f>
        <v>#N/A</v>
      </c>
      <c r="L51" s="234" t="e">
        <f>VLOOKUP($B51,'8_р'!$C$17:$H$77,5,FALSE)</f>
        <v>#N/A</v>
      </c>
      <c r="M51" s="152" t="e">
        <f>SUM(F53:L53)</f>
        <v>#N/A</v>
      </c>
      <c r="N51" s="86" t="e">
        <f>LOOKUP(M51,R$1:AA$1,R$2:AA$2)</f>
        <v>#N/A</v>
      </c>
      <c r="O51" s="86" t="e">
        <f>AC51+AD51+5</f>
        <v>#N/A</v>
      </c>
      <c r="P51" s="86">
        <f>B51</f>
        <v>8</v>
      </c>
      <c r="Q51" s="131" t="e">
        <f>$A51</f>
        <v>#N/A</v>
      </c>
      <c r="R51" s="131">
        <v>1</v>
      </c>
      <c r="S51" s="131" t="e">
        <f>$A51</f>
        <v>#N/A</v>
      </c>
      <c r="T51" s="236"/>
      <c r="U51" s="236"/>
      <c r="V51" s="236"/>
      <c r="W51" s="236"/>
      <c r="X51" s="236"/>
      <c r="Y51" s="236"/>
      <c r="Z51" s="253"/>
      <c r="AB51" s="86"/>
      <c r="AC51" s="131" t="e">
        <f>IF(AND(Q51&gt;16,M51&gt;=4600),"1",LOOKUP(Q51,Q$5:AH$5,Q$6:AH$6))</f>
        <v>#N/A</v>
      </c>
      <c r="AD51" s="131" t="e">
        <f>LOOKUP(N51,R$8:W$8,R$9:W$9)</f>
        <v>#N/A</v>
      </c>
    </row>
    <row r="52" spans="1:30" s="123" customFormat="1" ht="13.2" customHeight="1" x14ac:dyDescent="0.35">
      <c r="A52" s="86"/>
      <c r="B52" s="86"/>
      <c r="C52" s="123" t="str">
        <f>VLOOKUP(B51,Уч!$A$2:$L$16,5,FALSE)</f>
        <v xml:space="preserve">Ростовская область Санкт-Петербург </v>
      </c>
      <c r="D52" s="231" t="str">
        <f>VLOOKUP(B51,Уч!$A$2:$L$16,4,FALSE)</f>
        <v>МСМК</v>
      </c>
      <c r="E52" s="285" t="s">
        <v>25</v>
      </c>
      <c r="F52" s="238">
        <f>VLOOKUP($B51,'110 сб '!$C$17:$I$87,6,FALSE)</f>
        <v>0</v>
      </c>
      <c r="G52" s="239"/>
      <c r="H52" s="239"/>
      <c r="I52" s="238" t="e">
        <f>VLOOKUP($B51,'2_р'!$C$17:$I$68,6,FALSE)</f>
        <v>#N/A</v>
      </c>
      <c r="J52" s="238" t="e">
        <f>VLOOKUP($B51,Дл_р!$C$17:$O$43,12,FALSE)</f>
        <v>#N/A</v>
      </c>
      <c r="K52" s="239"/>
      <c r="L52" s="240"/>
      <c r="M52" s="152"/>
      <c r="N52" s="86"/>
      <c r="O52" s="86" t="e">
        <f>CONCATENATE(AC51,"+",AD51,"+",5)</f>
        <v>#N/A</v>
      </c>
      <c r="P52" s="86">
        <f>B51</f>
        <v>8</v>
      </c>
      <c r="Q52" s="131" t="e">
        <f>$A51</f>
        <v>#N/A</v>
      </c>
      <c r="R52" s="131">
        <v>2</v>
      </c>
      <c r="S52" s="131" t="e">
        <f>$A51</f>
        <v>#N/A</v>
      </c>
      <c r="T52" s="236"/>
      <c r="U52" s="236"/>
      <c r="V52" s="236"/>
      <c r="W52" s="236"/>
      <c r="X52" s="236"/>
      <c r="Y52" s="236"/>
      <c r="Z52" s="253"/>
      <c r="AB52" s="86"/>
      <c r="AC52" s="131"/>
      <c r="AD52" s="131"/>
    </row>
    <row r="53" spans="1:30" s="123" customFormat="1" ht="13.2" customHeight="1" x14ac:dyDescent="0.35">
      <c r="A53" s="86"/>
      <c r="B53" s="86"/>
      <c r="C53" s="241" t="str">
        <f>VLOOKUP(B51,Уч!$A$2:$L$16,7,FALSE)</f>
        <v>ГБУ РО "ЦОП №1", СПб ГБУ ЦОП "ШВСМ по легкой атлетике"</v>
      </c>
      <c r="D53" s="242"/>
      <c r="E53" s="285" t="s">
        <v>29</v>
      </c>
      <c r="F53" s="243">
        <f>VLOOKUP($B51,'110 сб '!$C$17:$I$87,7,FALSE)</f>
        <v>844</v>
      </c>
      <c r="G53" s="243">
        <f>VLOOKUP($B51,высота!$C$17:$AF$42,30,FALSE)</f>
        <v>0</v>
      </c>
      <c r="H53" s="243">
        <f>VLOOKUP($B51,ядро!$C$17:$K$43,9,FALSE)</f>
        <v>672</v>
      </c>
      <c r="I53" s="243" t="e">
        <f>VLOOKUP($B51,'2_р'!$C$17:$I$68,7,FALSE)</f>
        <v>#N/A</v>
      </c>
      <c r="J53" s="243" t="e">
        <f>VLOOKUP($B51,Дл_р!$C$17:$O$43,13,FALSE)</f>
        <v>#N/A</v>
      </c>
      <c r="K53" s="243" t="e">
        <f>VLOOKUP($B51,К_р!$C$18:$K$31,9,FALSE)</f>
        <v>#N/A</v>
      </c>
      <c r="L53" s="240" t="e">
        <f>VLOOKUP($B51,'8_р'!$C$17:$H$77,6,FALSE)</f>
        <v>#N/A</v>
      </c>
      <c r="M53" s="152"/>
      <c r="N53" s="244"/>
      <c r="O53" s="152"/>
      <c r="P53" s="243">
        <f>B51</f>
        <v>8</v>
      </c>
      <c r="Q53" s="131" t="e">
        <f>$A51</f>
        <v>#N/A</v>
      </c>
      <c r="R53" s="131">
        <v>3</v>
      </c>
      <c r="S53" s="131" t="e">
        <f>$A51</f>
        <v>#N/A</v>
      </c>
      <c r="T53" s="236"/>
      <c r="U53" s="236"/>
      <c r="V53" s="236"/>
      <c r="W53" s="236"/>
      <c r="X53" s="236"/>
      <c r="Y53" s="236"/>
      <c r="Z53" s="253"/>
      <c r="AB53" s="86"/>
      <c r="AC53" s="131"/>
      <c r="AD53" s="131"/>
    </row>
    <row r="54" spans="1:30" s="123" customFormat="1" ht="13.2" customHeight="1" x14ac:dyDescent="0.35">
      <c r="A54" s="86"/>
      <c r="B54" s="86"/>
      <c r="C54" s="241" t="str">
        <f>VLOOKUP(B51,Уч!$A$2:$L$16,11,FALSE)</f>
        <v>Есина И.А., Сретенцев В.В., Радух А.О.</v>
      </c>
      <c r="D54" s="131"/>
      <c r="E54" s="285" t="s">
        <v>125</v>
      </c>
      <c r="F54" s="243">
        <f>F53</f>
        <v>844</v>
      </c>
      <c r="G54" s="243">
        <f t="shared" ref="G54:L54" si="14">F54+G53</f>
        <v>844</v>
      </c>
      <c r="H54" s="243">
        <f t="shared" si="14"/>
        <v>1516</v>
      </c>
      <c r="I54" s="243" t="e">
        <f t="shared" si="14"/>
        <v>#N/A</v>
      </c>
      <c r="J54" s="243" t="e">
        <f t="shared" si="14"/>
        <v>#N/A</v>
      </c>
      <c r="K54" s="243" t="e">
        <f t="shared" si="14"/>
        <v>#N/A</v>
      </c>
      <c r="L54" s="240" t="e">
        <f t="shared" si="14"/>
        <v>#N/A</v>
      </c>
      <c r="M54" s="152"/>
      <c r="N54" s="244"/>
      <c r="O54" s="152"/>
      <c r="P54" s="243">
        <f>B51</f>
        <v>8</v>
      </c>
      <c r="Q54" s="131" t="e">
        <f>$A51</f>
        <v>#N/A</v>
      </c>
      <c r="R54" s="131">
        <v>4</v>
      </c>
      <c r="S54" s="131" t="e">
        <f>$A51</f>
        <v>#N/A</v>
      </c>
      <c r="T54" s="152">
        <f t="shared" ref="T54:Z54" si="15">F54</f>
        <v>844</v>
      </c>
      <c r="U54" s="152">
        <f t="shared" si="15"/>
        <v>844</v>
      </c>
      <c r="V54" s="152">
        <f t="shared" si="15"/>
        <v>1516</v>
      </c>
      <c r="W54" s="152" t="e">
        <f t="shared" si="15"/>
        <v>#N/A</v>
      </c>
      <c r="X54" s="152" t="e">
        <f t="shared" si="15"/>
        <v>#N/A</v>
      </c>
      <c r="Y54" s="152" t="e">
        <f t="shared" si="15"/>
        <v>#N/A</v>
      </c>
      <c r="Z54" s="152" t="e">
        <f t="shared" si="15"/>
        <v>#N/A</v>
      </c>
      <c r="AB54" s="86"/>
      <c r="AC54" s="131"/>
      <c r="AD54" s="131"/>
    </row>
    <row r="55" spans="1:30" s="123" customFormat="1" ht="13.2" customHeight="1" thickBot="1" x14ac:dyDescent="0.4">
      <c r="A55" s="245"/>
      <c r="B55" s="245"/>
      <c r="C55" s="246" t="str">
        <f>VLOOKUP(B51,Уч!$A$2:$L$16,12,FALSE)</f>
        <v/>
      </c>
      <c r="D55" s="247"/>
      <c r="E55" s="286" t="s">
        <v>60</v>
      </c>
      <c r="F55" s="249" t="e">
        <f>RANK(F54,$T$19:$T$85,0)</f>
        <v>#N/A</v>
      </c>
      <c r="G55" s="249" t="e">
        <f>RANK(G54,$U$19:$U$85,0)</f>
        <v>#N/A</v>
      </c>
      <c r="H55" s="249" t="e">
        <f>RANK(H54,$V$19:$V$85,0)</f>
        <v>#N/A</v>
      </c>
      <c r="I55" s="249" t="e">
        <f>RANK(I54,$W$19:$W$85,0)</f>
        <v>#N/A</v>
      </c>
      <c r="J55" s="249" t="e">
        <f>RANK(J54,$X$19:$X$85,0)</f>
        <v>#N/A</v>
      </c>
      <c r="K55" s="249" t="e">
        <f>RANK(K54,$Y$19:$Y$85,0)</f>
        <v>#N/A</v>
      </c>
      <c r="L55" s="250" t="e">
        <f>RANK(L54,$Z$19:$Z$85,0)</f>
        <v>#N/A</v>
      </c>
      <c r="M55" s="251"/>
      <c r="N55" s="252"/>
      <c r="O55" s="251"/>
      <c r="P55" s="243">
        <f>B51</f>
        <v>8</v>
      </c>
      <c r="Q55" s="131" t="e">
        <f>$A51</f>
        <v>#N/A</v>
      </c>
      <c r="R55" s="131">
        <v>5</v>
      </c>
      <c r="S55" s="131" t="e">
        <f>$A51</f>
        <v>#N/A</v>
      </c>
      <c r="T55" s="236"/>
      <c r="U55" s="236"/>
      <c r="V55" s="236"/>
      <c r="W55" s="236"/>
      <c r="X55" s="236"/>
      <c r="Y55" s="236"/>
      <c r="Z55" s="253"/>
      <c r="AB55" s="86"/>
      <c r="AC55" s="131"/>
      <c r="AD55" s="131"/>
    </row>
    <row r="56" spans="1:30" s="123" customFormat="1" ht="13.2" customHeight="1" thickTop="1" x14ac:dyDescent="0.35">
      <c r="A56" s="86" t="e">
        <f>RANK(M56,$M$16:$M$85,0)</f>
        <v>#N/A</v>
      </c>
      <c r="B56" s="86">
        <v>37</v>
      </c>
      <c r="C56" s="123" t="e">
        <f>VLOOKUP(B56,Уч!$A$2:$L$16,2,FALSE)</f>
        <v>#N/A</v>
      </c>
      <c r="D56" s="231" t="e">
        <f>VLOOKUP(B56,Уч!$A$2:$L$16,3,FALSE)</f>
        <v>#N/A</v>
      </c>
      <c r="E56" s="285" t="s">
        <v>18</v>
      </c>
      <c r="F56" s="233" t="e">
        <f>VLOOKUP($B56,'110 сб '!$C$17:$I$87,5,FALSE)</f>
        <v>#N/A</v>
      </c>
      <c r="G56" s="233" t="e">
        <f>VLOOKUP($B56,высота!$C$17:$AF$42,29,FALSE)</f>
        <v>#N/A</v>
      </c>
      <c r="H56" s="233" t="e">
        <f>VLOOKUP($B56,ядро!$C$17:$K$43,8,FALSE)</f>
        <v>#N/A</v>
      </c>
      <c r="I56" s="233">
        <f>VLOOKUP($B56,'2_р'!$C$17:$I$68,5,FALSE)</f>
        <v>24.78</v>
      </c>
      <c r="J56" s="233">
        <f>VLOOKUP($B56,Дл_р!$C$17:$O$43,11,FALSE)</f>
        <v>5.92</v>
      </c>
      <c r="K56" s="233">
        <f>VLOOKUP($B56,К_р!$C$18:$K$31,8,FALSE)</f>
        <v>39.270000000000003</v>
      </c>
      <c r="L56" s="234" t="str">
        <f>VLOOKUP($B56,'8_р'!$C$17:$H$77,5,FALSE)</f>
        <v>2:16.34</v>
      </c>
      <c r="M56" s="15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37</v>
      </c>
      <c r="Q56" s="131" t="e">
        <f>$A56</f>
        <v>#N/A</v>
      </c>
      <c r="R56" s="131">
        <v>1</v>
      </c>
      <c r="S56" s="131" t="e">
        <f>$A56</f>
        <v>#N/A</v>
      </c>
      <c r="T56" s="236"/>
      <c r="U56" s="236"/>
      <c r="V56" s="236"/>
      <c r="W56" s="236"/>
      <c r="X56" s="236"/>
      <c r="Y56" s="236"/>
      <c r="Z56" s="236"/>
      <c r="AC56" s="131" t="e">
        <f>IF(AND(Q56&gt;16,M56&gt;=4600),"1",LOOKUP(Q56,Q$5:AH$5,Q$6:AH$6))</f>
        <v>#N/A</v>
      </c>
      <c r="AD56" s="131" t="e">
        <f>LOOKUP(N56,R$8:W$8,R$9:W$9)</f>
        <v>#N/A</v>
      </c>
    </row>
    <row r="57" spans="1:30" s="123" customFormat="1" ht="13.2" customHeight="1" x14ac:dyDescent="0.35">
      <c r="A57" s="86"/>
      <c r="B57" s="86"/>
      <c r="C57" s="123" t="e">
        <f>VLOOKUP(B56,Уч!$A$2:$L$16,5,FALSE)</f>
        <v>#N/A</v>
      </c>
      <c r="D57" s="86" t="e">
        <f>VLOOKUP(B56,Уч!$A$2:$L$16,4,FALSE)</f>
        <v>#N/A</v>
      </c>
      <c r="E57" s="285" t="s">
        <v>25</v>
      </c>
      <c r="F57" s="238" t="e">
        <f>VLOOKUP($B56,'110 сб '!$C$17:$I$87,6,FALSE)</f>
        <v>#N/A</v>
      </c>
      <c r="G57" s="239"/>
      <c r="H57" s="239"/>
      <c r="I57" s="238">
        <f>VLOOKUP($B56,'2_р'!$C$17:$I$68,6,FALSE)</f>
        <v>1.2</v>
      </c>
      <c r="J57" s="238">
        <f>VLOOKUP($B56,Дл_р!$C$17:$O$43,12,FALSE)</f>
        <v>-1</v>
      </c>
      <c r="K57" s="239"/>
      <c r="L57" s="240"/>
      <c r="M57" s="152"/>
      <c r="N57" s="86"/>
      <c r="O57" s="86" t="e">
        <f>CONCATENATE(AC56,"+",AD56,"+",5)</f>
        <v>#N/A</v>
      </c>
      <c r="P57" s="86">
        <f>B56</f>
        <v>37</v>
      </c>
      <c r="Q57" s="131" t="e">
        <f>$A56</f>
        <v>#N/A</v>
      </c>
      <c r="R57" s="131">
        <v>2</v>
      </c>
      <c r="S57" s="131" t="e">
        <f>$A56</f>
        <v>#N/A</v>
      </c>
      <c r="T57" s="236"/>
      <c r="U57" s="236"/>
      <c r="V57" s="236"/>
      <c r="W57" s="236"/>
      <c r="X57" s="236"/>
      <c r="Y57" s="236"/>
      <c r="Z57" s="236"/>
      <c r="AC57" s="131"/>
      <c r="AD57" s="131"/>
    </row>
    <row r="58" spans="1:30" s="123" customFormat="1" ht="13.2" customHeight="1" x14ac:dyDescent="0.35">
      <c r="A58" s="86"/>
      <c r="B58" s="86"/>
      <c r="C58" s="241" t="e">
        <f>VLOOKUP(B56,Уч!$A$2:$L$16,7,FALSE)</f>
        <v>#N/A</v>
      </c>
      <c r="D58" s="242"/>
      <c r="E58" s="285" t="s">
        <v>29</v>
      </c>
      <c r="F58" s="243" t="e">
        <f>VLOOKUP($B56,'110 сб '!$C$17:$I$87,7,FALSE)</f>
        <v>#N/A</v>
      </c>
      <c r="G58" s="243" t="e">
        <f>VLOOKUP($B56,высота!$C$17:$AF$42,30,FALSE)</f>
        <v>#N/A</v>
      </c>
      <c r="H58" s="243" t="e">
        <f>VLOOKUP($B56,ядро!$C$17:$K$43,9,FALSE)</f>
        <v>#N/A</v>
      </c>
      <c r="I58" s="243">
        <f>VLOOKUP($B56,'2_р'!$C$17:$I$68,7,FALSE)</f>
        <v>907</v>
      </c>
      <c r="J58" s="243">
        <f>VLOOKUP($B56,Дл_р!$C$17:$O$43,13,FALSE)</f>
        <v>825</v>
      </c>
      <c r="K58" s="243">
        <f>VLOOKUP($B56,К_р!$C$18:$K$31,9,FALSE)</f>
        <v>653</v>
      </c>
      <c r="L58" s="240">
        <f>VLOOKUP($B56,'8_р'!$C$17:$H$77,6,FALSE)</f>
        <v>874</v>
      </c>
      <c r="M58" s="152"/>
      <c r="N58" s="244"/>
      <c r="O58" s="152"/>
      <c r="P58" s="243">
        <f>B56</f>
        <v>37</v>
      </c>
      <c r="Q58" s="131" t="e">
        <f>$A56</f>
        <v>#N/A</v>
      </c>
      <c r="R58" s="131">
        <v>3</v>
      </c>
      <c r="S58" s="131" t="e">
        <f>$A56</f>
        <v>#N/A</v>
      </c>
      <c r="T58" s="236"/>
      <c r="U58" s="236"/>
      <c r="V58" s="236"/>
      <c r="W58" s="236"/>
      <c r="X58" s="236"/>
      <c r="Y58" s="236"/>
      <c r="Z58" s="236"/>
      <c r="AB58" s="86"/>
      <c r="AC58" s="131"/>
      <c r="AD58" s="131"/>
    </row>
    <row r="59" spans="1:30" s="123" customFormat="1" ht="13.2" customHeight="1" x14ac:dyDescent="0.35">
      <c r="A59" s="86"/>
      <c r="B59" s="86"/>
      <c r="C59" s="241" t="e">
        <f>VLOOKUP(B56,Уч!$A$2:$L$16,11,FALSE)</f>
        <v>#N/A</v>
      </c>
      <c r="D59" s="131"/>
      <c r="E59" s="285" t="s">
        <v>125</v>
      </c>
      <c r="F59" s="243" t="e">
        <f>F58</f>
        <v>#N/A</v>
      </c>
      <c r="G59" s="243" t="e">
        <f t="shared" ref="G59" si="16">F59+G58</f>
        <v>#N/A</v>
      </c>
      <c r="H59" s="243" t="e">
        <f t="shared" ref="H59" si="17">G59+H58</f>
        <v>#N/A</v>
      </c>
      <c r="I59" s="243" t="e">
        <f t="shared" ref="I59" si="18">H59+I58</f>
        <v>#N/A</v>
      </c>
      <c r="J59" s="243" t="e">
        <f t="shared" ref="J59" si="19">I59+J58</f>
        <v>#N/A</v>
      </c>
      <c r="K59" s="243" t="e">
        <f t="shared" ref="K59" si="20">J59+K58</f>
        <v>#N/A</v>
      </c>
      <c r="L59" s="240" t="e">
        <f t="shared" ref="L59" si="21">K59+L58</f>
        <v>#N/A</v>
      </c>
      <c r="M59" s="152"/>
      <c r="N59" s="244"/>
      <c r="O59" s="152"/>
      <c r="P59" s="243">
        <f>B56</f>
        <v>37</v>
      </c>
      <c r="Q59" s="131" t="e">
        <f>$A56</f>
        <v>#N/A</v>
      </c>
      <c r="R59" s="131">
        <v>4</v>
      </c>
      <c r="S59" s="131" t="e">
        <f>$A56</f>
        <v>#N/A</v>
      </c>
      <c r="T59" s="152" t="e">
        <f t="shared" ref="T59" si="22">F59</f>
        <v>#N/A</v>
      </c>
      <c r="U59" s="152" t="e">
        <f t="shared" ref="U59" si="23">G59</f>
        <v>#N/A</v>
      </c>
      <c r="V59" s="152" t="e">
        <f t="shared" ref="V59" si="24">H59</f>
        <v>#N/A</v>
      </c>
      <c r="W59" s="152" t="e">
        <f t="shared" ref="W59" si="25">I59</f>
        <v>#N/A</v>
      </c>
      <c r="X59" s="152" t="e">
        <f t="shared" ref="X59" si="26">J59</f>
        <v>#N/A</v>
      </c>
      <c r="Y59" s="152" t="e">
        <f t="shared" ref="Y59" si="27">K59</f>
        <v>#N/A</v>
      </c>
      <c r="Z59" s="152" t="e">
        <f t="shared" ref="Z59" si="28">L59</f>
        <v>#N/A</v>
      </c>
      <c r="AB59" s="86"/>
      <c r="AC59" s="131"/>
      <c r="AD59" s="131"/>
    </row>
    <row r="60" spans="1:30" s="123" customFormat="1" ht="13.2" customHeight="1" thickBot="1" x14ac:dyDescent="0.4">
      <c r="A60" s="245"/>
      <c r="B60" s="245"/>
      <c r="C60" s="246" t="e">
        <f>VLOOKUP(B56,Уч!$A$2:$L$16,12,FALSE)</f>
        <v>#N/A</v>
      </c>
      <c r="D60" s="247"/>
      <c r="E60" s="286" t="s">
        <v>60</v>
      </c>
      <c r="F60" s="249" t="e">
        <f>RANK(F59,$T$19:$T$85,0)</f>
        <v>#N/A</v>
      </c>
      <c r="G60" s="249" t="e">
        <f>RANK(G59,$U$19:$U$85,0)</f>
        <v>#N/A</v>
      </c>
      <c r="H60" s="249" t="e">
        <f>RANK(H59,$V$19:$V$85,0)</f>
        <v>#N/A</v>
      </c>
      <c r="I60" s="249" t="e">
        <f>RANK(I59,$W$19:$W$85,0)</f>
        <v>#N/A</v>
      </c>
      <c r="J60" s="249" t="e">
        <f>RANK(J59,$X$19:$X$85,0)</f>
        <v>#N/A</v>
      </c>
      <c r="K60" s="249" t="e">
        <f>RANK(K59,$Y$19:$Y$85,0)</f>
        <v>#N/A</v>
      </c>
      <c r="L60" s="250" t="e">
        <f>RANK(L59,$Z$19:$Z$85,0)</f>
        <v>#N/A</v>
      </c>
      <c r="M60" s="251"/>
      <c r="N60" s="252"/>
      <c r="O60" s="251"/>
      <c r="P60" s="243">
        <f>B56</f>
        <v>37</v>
      </c>
      <c r="Q60" s="131" t="e">
        <f>$A56</f>
        <v>#N/A</v>
      </c>
      <c r="R60" s="131">
        <v>5</v>
      </c>
      <c r="S60" s="131" t="e">
        <f>$A56</f>
        <v>#N/A</v>
      </c>
      <c r="T60" s="236"/>
      <c r="U60" s="236"/>
      <c r="V60" s="236"/>
      <c r="W60" s="236"/>
      <c r="X60" s="236"/>
      <c r="Y60" s="236"/>
      <c r="Z60" s="236"/>
      <c r="AB60" s="86"/>
      <c r="AC60" s="131"/>
      <c r="AD60" s="131"/>
    </row>
    <row r="61" spans="1:30" s="123" customFormat="1" ht="13.2" customHeight="1" thickTop="1" x14ac:dyDescent="0.35">
      <c r="A61" s="86" t="e">
        <f>RANK(M61,$M$16:$M$85,0)</f>
        <v>#N/A</v>
      </c>
      <c r="B61" s="86">
        <v>70</v>
      </c>
      <c r="C61" s="123" t="e">
        <f>VLOOKUP(B61,Уч!$A$2:$L$16,2,FALSE)</f>
        <v>#N/A</v>
      </c>
      <c r="D61" s="231" t="e">
        <f>VLOOKUP(B61,Уч!$A$2:$L$16,3,FALSE)</f>
        <v>#N/A</v>
      </c>
      <c r="E61" s="285" t="s">
        <v>18</v>
      </c>
      <c r="F61" s="233" t="e">
        <f>VLOOKUP($B61,'110 сб '!$C$17:$I$87,5,FALSE)</f>
        <v>#N/A</v>
      </c>
      <c r="G61" s="233" t="e">
        <f>VLOOKUP($B61,высота!$C$17:$AF$42,29,FALSE)</f>
        <v>#N/A</v>
      </c>
      <c r="H61" s="233" t="e">
        <f>VLOOKUP($B61,ядро!$C$17:$K$43,8,FALSE)</f>
        <v>#N/A</v>
      </c>
      <c r="I61" s="233" t="e">
        <f>VLOOKUP($B61,'2_р'!$C$17:$I$68,5,FALSE)</f>
        <v>#N/A</v>
      </c>
      <c r="J61" s="233" t="e">
        <f>VLOOKUP($B61,Дл_р!$C$17:$O$43,11,FALSE)</f>
        <v>#N/A</v>
      </c>
      <c r="K61" s="233" t="e">
        <f>VLOOKUP($B61,К_р!$C$18:$K$31,8,FALSE)</f>
        <v>#N/A</v>
      </c>
      <c r="L61" s="234" t="e">
        <f>VLOOKUP($B61,'8_р'!$C$17:$H$77,5,FALSE)</f>
        <v>#N/A</v>
      </c>
      <c r="M61" s="15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70</v>
      </c>
      <c r="Q61" s="131" t="e">
        <f>$A61</f>
        <v>#N/A</v>
      </c>
      <c r="R61" s="131">
        <v>1</v>
      </c>
      <c r="S61" s="131" t="e">
        <f>$A61</f>
        <v>#N/A</v>
      </c>
      <c r="T61" s="236"/>
      <c r="U61" s="236"/>
      <c r="V61" s="236"/>
      <c r="W61" s="236"/>
      <c r="X61" s="236"/>
      <c r="Y61" s="236"/>
      <c r="Z61" s="236"/>
      <c r="AC61" s="131" t="e">
        <f>IF(AND(Q61&gt;16,M61&gt;=4600),"1",LOOKUP(Q61,Q$5:AH$5,Q$6:AH$6))</f>
        <v>#N/A</v>
      </c>
      <c r="AD61" s="131" t="e">
        <f>LOOKUP(N61,R$8:W$8,R$9:W$9)</f>
        <v>#N/A</v>
      </c>
    </row>
    <row r="62" spans="1:30" s="123" customFormat="1" ht="13.2" customHeight="1" x14ac:dyDescent="0.35">
      <c r="A62" s="86"/>
      <c r="B62" s="86"/>
      <c r="C62" s="123" t="e">
        <f>VLOOKUP(B61,Уч!$A$2:$L$16,5,FALSE)</f>
        <v>#N/A</v>
      </c>
      <c r="D62" s="231" t="e">
        <f>VLOOKUP(B61,Уч!$A$2:$L$16,4,FALSE)</f>
        <v>#N/A</v>
      </c>
      <c r="E62" s="285" t="s">
        <v>25</v>
      </c>
      <c r="F62" s="238" t="e">
        <f>VLOOKUP($B61,'110 сб '!$C$17:$I$87,6,FALSE)</f>
        <v>#N/A</v>
      </c>
      <c r="G62" s="239"/>
      <c r="H62" s="239"/>
      <c r="I62" s="238" t="e">
        <f>VLOOKUP($B61,'2_р'!$C$17:$I$68,6,FALSE)</f>
        <v>#N/A</v>
      </c>
      <c r="J62" s="238" t="e">
        <f>VLOOKUP($B61,Дл_р!$C$17:$O$43,12,FALSE)</f>
        <v>#N/A</v>
      </c>
      <c r="K62" s="239"/>
      <c r="L62" s="240"/>
      <c r="M62" s="152"/>
      <c r="N62" s="86"/>
      <c r="O62" s="86" t="e">
        <f>CONCATENATE(AC61,"+",AD61,"+",5)</f>
        <v>#N/A</v>
      </c>
      <c r="P62" s="86">
        <f>B61</f>
        <v>70</v>
      </c>
      <c r="Q62" s="131" t="e">
        <f>$A61</f>
        <v>#N/A</v>
      </c>
      <c r="R62" s="131">
        <v>2</v>
      </c>
      <c r="S62" s="131" t="e">
        <f>$A61</f>
        <v>#N/A</v>
      </c>
      <c r="T62" s="236"/>
      <c r="U62" s="236"/>
      <c r="V62" s="236"/>
      <c r="W62" s="236"/>
      <c r="X62" s="236"/>
      <c r="Y62" s="236"/>
      <c r="Z62" s="236"/>
      <c r="AC62" s="131"/>
      <c r="AD62" s="131"/>
    </row>
    <row r="63" spans="1:30" s="123" customFormat="1" ht="13.2" customHeight="1" x14ac:dyDescent="0.35">
      <c r="A63" s="86"/>
      <c r="B63" s="86"/>
      <c r="C63" s="241" t="e">
        <f>VLOOKUP(B61,Уч!$A$2:$L$16,7,FALSE)</f>
        <v>#N/A</v>
      </c>
      <c r="D63" s="242"/>
      <c r="E63" s="285" t="s">
        <v>29</v>
      </c>
      <c r="F63" s="243" t="e">
        <f>VLOOKUP($B61,'110 сб '!$C$17:$I$87,7,FALSE)</f>
        <v>#N/A</v>
      </c>
      <c r="G63" s="243" t="e">
        <f>VLOOKUP($B61,высота!$C$17:$AF$42,30,FALSE)</f>
        <v>#N/A</v>
      </c>
      <c r="H63" s="243" t="e">
        <f>VLOOKUP($B61,ядро!$C$17:$K$43,9,FALSE)</f>
        <v>#N/A</v>
      </c>
      <c r="I63" s="243" t="e">
        <f>VLOOKUP($B61,'2_р'!$C$17:$I$68,7,FALSE)</f>
        <v>#N/A</v>
      </c>
      <c r="J63" s="243" t="e">
        <f>VLOOKUP($B61,Дл_р!$C$17:$O$43,13,FALSE)</f>
        <v>#N/A</v>
      </c>
      <c r="K63" s="243" t="e">
        <f>VLOOKUP($B61,К_р!$C$18:$K$31,9,FALSE)</f>
        <v>#N/A</v>
      </c>
      <c r="L63" s="240" t="e">
        <f>VLOOKUP($B61,'8_р'!$C$17:$H$77,6,FALSE)</f>
        <v>#N/A</v>
      </c>
      <c r="M63" s="152"/>
      <c r="N63" s="244"/>
      <c r="O63" s="152"/>
      <c r="P63" s="243">
        <f>B61</f>
        <v>70</v>
      </c>
      <c r="Q63" s="131" t="e">
        <f>$A61</f>
        <v>#N/A</v>
      </c>
      <c r="R63" s="131">
        <v>3</v>
      </c>
      <c r="S63" s="131" t="e">
        <f>$A61</f>
        <v>#N/A</v>
      </c>
      <c r="T63" s="236"/>
      <c r="U63" s="236"/>
      <c r="V63" s="236"/>
      <c r="W63" s="236"/>
      <c r="X63" s="236"/>
      <c r="Y63" s="236"/>
      <c r="Z63" s="236"/>
      <c r="AB63" s="86"/>
      <c r="AC63" s="131"/>
      <c r="AD63" s="131"/>
    </row>
    <row r="64" spans="1:30" s="123" customFormat="1" ht="13.2" customHeight="1" x14ac:dyDescent="0.35">
      <c r="A64" s="86"/>
      <c r="B64" s="86"/>
      <c r="C64" s="241" t="e">
        <f>VLOOKUP(B61,Уч!$A$2:$L$16,11,FALSE)</f>
        <v>#N/A</v>
      </c>
      <c r="D64" s="131"/>
      <c r="E64" s="285" t="s">
        <v>125</v>
      </c>
      <c r="F64" s="243" t="e">
        <f>F63</f>
        <v>#N/A</v>
      </c>
      <c r="G64" s="243" t="e">
        <f t="shared" ref="G64:L64" si="29">F64+G63</f>
        <v>#N/A</v>
      </c>
      <c r="H64" s="243" t="e">
        <f t="shared" si="29"/>
        <v>#N/A</v>
      </c>
      <c r="I64" s="243" t="e">
        <f t="shared" si="29"/>
        <v>#N/A</v>
      </c>
      <c r="J64" s="243" t="e">
        <f t="shared" si="29"/>
        <v>#N/A</v>
      </c>
      <c r="K64" s="243" t="e">
        <f t="shared" si="29"/>
        <v>#N/A</v>
      </c>
      <c r="L64" s="240" t="e">
        <f t="shared" si="29"/>
        <v>#N/A</v>
      </c>
      <c r="M64" s="152"/>
      <c r="N64" s="244"/>
      <c r="O64" s="152"/>
      <c r="P64" s="243">
        <f>B61</f>
        <v>70</v>
      </c>
      <c r="Q64" s="131" t="e">
        <f>$A61</f>
        <v>#N/A</v>
      </c>
      <c r="R64" s="131">
        <v>4</v>
      </c>
      <c r="S64" s="131" t="e">
        <f>$A61</f>
        <v>#N/A</v>
      </c>
      <c r="T64" s="152" t="e">
        <f t="shared" ref="T64:Z64" si="30">F64</f>
        <v>#N/A</v>
      </c>
      <c r="U64" s="152" t="e">
        <f t="shared" si="30"/>
        <v>#N/A</v>
      </c>
      <c r="V64" s="152" t="e">
        <f t="shared" si="30"/>
        <v>#N/A</v>
      </c>
      <c r="W64" s="152" t="e">
        <f t="shared" si="30"/>
        <v>#N/A</v>
      </c>
      <c r="X64" s="152" t="e">
        <f t="shared" si="30"/>
        <v>#N/A</v>
      </c>
      <c r="Y64" s="152" t="e">
        <f t="shared" si="30"/>
        <v>#N/A</v>
      </c>
      <c r="Z64" s="152" t="e">
        <f t="shared" si="30"/>
        <v>#N/A</v>
      </c>
      <c r="AB64" s="86"/>
      <c r="AC64" s="131"/>
      <c r="AD64" s="131"/>
    </row>
    <row r="65" spans="1:30" s="123" customFormat="1" ht="13.2" customHeight="1" thickBot="1" x14ac:dyDescent="0.4">
      <c r="A65" s="245"/>
      <c r="B65" s="245"/>
      <c r="C65" s="246" t="e">
        <f>VLOOKUP(B61,Уч!$A$2:$L$16,12,FALSE)</f>
        <v>#N/A</v>
      </c>
      <c r="D65" s="247"/>
      <c r="E65" s="286" t="s">
        <v>60</v>
      </c>
      <c r="F65" s="249" t="e">
        <f>RANK(F64,$T$19:$T$85,0)</f>
        <v>#N/A</v>
      </c>
      <c r="G65" s="249" t="e">
        <f>RANK(G64,$U$19:$U$85,0)</f>
        <v>#N/A</v>
      </c>
      <c r="H65" s="249" t="e">
        <f>RANK(H64,$V$19:$V$85,0)</f>
        <v>#N/A</v>
      </c>
      <c r="I65" s="249" t="e">
        <f>RANK(I64,$W$19:$W$85,0)</f>
        <v>#N/A</v>
      </c>
      <c r="J65" s="249" t="e">
        <f>RANK(J64,$X$19:$X$85,0)</f>
        <v>#N/A</v>
      </c>
      <c r="K65" s="249" t="e">
        <f>RANK(K64,$Y$19:$Y$85,0)</f>
        <v>#N/A</v>
      </c>
      <c r="L65" s="250" t="e">
        <f>RANK(L64,$Z$19:$Z$85,0)</f>
        <v>#N/A</v>
      </c>
      <c r="M65" s="251"/>
      <c r="N65" s="252"/>
      <c r="O65" s="251"/>
      <c r="P65" s="243">
        <f>B61</f>
        <v>70</v>
      </c>
      <c r="Q65" s="131" t="e">
        <f>$A61</f>
        <v>#N/A</v>
      </c>
      <c r="R65" s="131">
        <v>5</v>
      </c>
      <c r="S65" s="131" t="e">
        <f>$A61</f>
        <v>#N/A</v>
      </c>
      <c r="T65" s="236"/>
      <c r="U65" s="236"/>
      <c r="V65" s="236"/>
      <c r="W65" s="236"/>
      <c r="X65" s="236"/>
      <c r="Y65" s="236"/>
      <c r="Z65" s="236"/>
      <c r="AB65" s="86"/>
      <c r="AC65" s="131"/>
      <c r="AD65" s="131"/>
    </row>
    <row r="66" spans="1:30" s="123" customFormat="1" ht="13.2" customHeight="1" thickTop="1" x14ac:dyDescent="0.35">
      <c r="A66" s="86" t="e">
        <f>RANK(M66,$M$16:$M$85,0)</f>
        <v>#N/A</v>
      </c>
      <c r="B66" s="86">
        <v>26</v>
      </c>
      <c r="C66" s="123" t="e">
        <f>VLOOKUP(B66,Уч!$A$2:$L$16,2,FALSE)</f>
        <v>#N/A</v>
      </c>
      <c r="D66" s="231" t="e">
        <f>VLOOKUP(B66,Уч!$A$2:$L$16,3,FALSE)</f>
        <v>#N/A</v>
      </c>
      <c r="E66" s="285" t="s">
        <v>18</v>
      </c>
      <c r="F66" s="233" t="e">
        <f>VLOOKUP($B66,'110 сб '!$C$17:$I$87,5,FALSE)</f>
        <v>#N/A</v>
      </c>
      <c r="G66" s="233" t="e">
        <f>VLOOKUP($B66,высота!$C$17:$AF$42,29,FALSE)</f>
        <v>#N/A</v>
      </c>
      <c r="H66" s="233" t="e">
        <f>VLOOKUP($B66,ядро!$C$17:$K$43,8,FALSE)</f>
        <v>#N/A</v>
      </c>
      <c r="I66" s="233" t="e">
        <f>VLOOKUP($B66,'2_р'!$C$17:$I$68,5,FALSE)</f>
        <v>#N/A</v>
      </c>
      <c r="J66" s="233" t="e">
        <f>VLOOKUP($B66,Дл_р!$C$17:$O$43,11,FALSE)</f>
        <v>#N/A</v>
      </c>
      <c r="K66" s="233" t="e">
        <f>VLOOKUP($B66,К_р!$C$18:$K$31,8,FALSE)</f>
        <v>#N/A</v>
      </c>
      <c r="L66" s="234" t="e">
        <f>VLOOKUP($B66,'8_р'!$C$17:$H$77,5,FALSE)</f>
        <v>#N/A</v>
      </c>
      <c r="M66" s="15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26</v>
      </c>
      <c r="Q66" s="131" t="e">
        <f>$A66</f>
        <v>#N/A</v>
      </c>
      <c r="R66" s="131">
        <v>1</v>
      </c>
      <c r="S66" s="131" t="e">
        <f>$A66</f>
        <v>#N/A</v>
      </c>
      <c r="T66" s="236"/>
      <c r="U66" s="236"/>
      <c r="V66" s="236"/>
      <c r="W66" s="236"/>
      <c r="X66" s="236"/>
      <c r="Y66" s="236"/>
      <c r="Z66" s="236"/>
      <c r="AB66" s="86"/>
      <c r="AC66" s="131" t="e">
        <f>IF(AND(Q66&gt;16,M66&gt;=4600),"1",LOOKUP(Q66,Q$5:AH$5,Q$6:AH$6))</f>
        <v>#N/A</v>
      </c>
      <c r="AD66" s="131" t="e">
        <f>LOOKUP(N66,R$8:W$8,R$9:W$9)</f>
        <v>#N/A</v>
      </c>
    </row>
    <row r="67" spans="1:30" s="123" customFormat="1" ht="13.2" customHeight="1" x14ac:dyDescent="0.35">
      <c r="A67" s="86"/>
      <c r="B67" s="86"/>
      <c r="C67" s="123" t="e">
        <f>VLOOKUP(B66,Уч!$A$2:$L$16,5,FALSE)</f>
        <v>#N/A</v>
      </c>
      <c r="D67" s="231" t="e">
        <f>VLOOKUP(B66,Уч!$A$2:$L$16,4,FALSE)</f>
        <v>#N/A</v>
      </c>
      <c r="E67" s="285" t="s">
        <v>25</v>
      </c>
      <c r="F67" s="238" t="e">
        <f>VLOOKUP($B66,'110 сб '!$C$17:$I$87,6,FALSE)</f>
        <v>#N/A</v>
      </c>
      <c r="G67" s="239"/>
      <c r="H67" s="239"/>
      <c r="I67" s="238" t="e">
        <f>VLOOKUP($B66,'2_р'!$C$17:$I$68,6,FALSE)</f>
        <v>#N/A</v>
      </c>
      <c r="J67" s="238" t="e">
        <f>VLOOKUP($B66,Дл_р!$C$17:$O$43,12,FALSE)</f>
        <v>#N/A</v>
      </c>
      <c r="K67" s="239"/>
      <c r="L67" s="240"/>
      <c r="M67" s="152"/>
      <c r="N67" s="86"/>
      <c r="O67" s="86" t="e">
        <f>CONCATENATE(AC66,"+",AD66,"+",5)</f>
        <v>#N/A</v>
      </c>
      <c r="P67" s="86">
        <f>B66</f>
        <v>26</v>
      </c>
      <c r="Q67" s="131" t="e">
        <f>$A66</f>
        <v>#N/A</v>
      </c>
      <c r="R67" s="131">
        <v>2</v>
      </c>
      <c r="S67" s="131" t="e">
        <f>$A66</f>
        <v>#N/A</v>
      </c>
      <c r="T67" s="236"/>
      <c r="U67" s="236"/>
      <c r="V67" s="236"/>
      <c r="W67" s="236"/>
      <c r="X67" s="236"/>
      <c r="Y67" s="236"/>
      <c r="Z67" s="236"/>
      <c r="AB67" s="86"/>
      <c r="AC67" s="131"/>
      <c r="AD67" s="131"/>
    </row>
    <row r="68" spans="1:30" s="123" customFormat="1" ht="13.2" customHeight="1" x14ac:dyDescent="0.35">
      <c r="A68" s="86"/>
      <c r="B68" s="86"/>
      <c r="C68" s="241" t="e">
        <f>VLOOKUP(B66,Уч!$A$2:$L$16,7,FALSE)</f>
        <v>#N/A</v>
      </c>
      <c r="D68" s="242"/>
      <c r="E68" s="285" t="s">
        <v>29</v>
      </c>
      <c r="F68" s="243" t="e">
        <f>VLOOKUP($B66,'110 сб '!$C$17:$I$87,7,FALSE)</f>
        <v>#N/A</v>
      </c>
      <c r="G68" s="243" t="e">
        <f>VLOOKUP($B66,высота!$C$17:$AF$42,30,FALSE)</f>
        <v>#N/A</v>
      </c>
      <c r="H68" s="243" t="e">
        <f>VLOOKUP($B66,ядро!$C$17:$K$43,9,FALSE)</f>
        <v>#N/A</v>
      </c>
      <c r="I68" s="243" t="e">
        <f>VLOOKUP($B66,'2_р'!$C$17:$I$68,7,FALSE)</f>
        <v>#N/A</v>
      </c>
      <c r="J68" s="243" t="e">
        <f>VLOOKUP($B66,Дл_р!$C$17:$O$43,13,FALSE)</f>
        <v>#N/A</v>
      </c>
      <c r="K68" s="243" t="e">
        <f>VLOOKUP($B66,К_р!$C$18:$K$31,9,FALSE)</f>
        <v>#N/A</v>
      </c>
      <c r="L68" s="240" t="e">
        <f>VLOOKUP($B66,'8_р'!$C$17:$H$77,6,FALSE)</f>
        <v>#N/A</v>
      </c>
      <c r="M68" s="152"/>
      <c r="N68" s="244"/>
      <c r="O68" s="152"/>
      <c r="P68" s="243">
        <f>B66</f>
        <v>26</v>
      </c>
      <c r="Q68" s="131" t="e">
        <f>$A66</f>
        <v>#N/A</v>
      </c>
      <c r="R68" s="131">
        <v>3</v>
      </c>
      <c r="S68" s="131" t="e">
        <f>$A66</f>
        <v>#N/A</v>
      </c>
      <c r="T68" s="236"/>
      <c r="U68" s="236"/>
      <c r="V68" s="236"/>
      <c r="W68" s="236"/>
      <c r="X68" s="236"/>
      <c r="Y68" s="236"/>
      <c r="Z68" s="236"/>
      <c r="AB68" s="86"/>
      <c r="AC68" s="131"/>
      <c r="AD68" s="131"/>
    </row>
    <row r="69" spans="1:30" s="123" customFormat="1" ht="13.2" customHeight="1" x14ac:dyDescent="0.35">
      <c r="A69" s="86"/>
      <c r="B69" s="86"/>
      <c r="C69" s="241" t="e">
        <f>VLOOKUP(B66,Уч!$A$2:$L$16,11,FALSE)</f>
        <v>#N/A</v>
      </c>
      <c r="D69" s="131"/>
      <c r="E69" s="285" t="s">
        <v>125</v>
      </c>
      <c r="F69" s="243" t="e">
        <f>F68</f>
        <v>#N/A</v>
      </c>
      <c r="G69" s="243" t="e">
        <f t="shared" ref="G69:L69" si="31">F69+G68</f>
        <v>#N/A</v>
      </c>
      <c r="H69" s="243" t="e">
        <f t="shared" si="31"/>
        <v>#N/A</v>
      </c>
      <c r="I69" s="243" t="e">
        <f t="shared" si="31"/>
        <v>#N/A</v>
      </c>
      <c r="J69" s="243" t="e">
        <f t="shared" si="31"/>
        <v>#N/A</v>
      </c>
      <c r="K69" s="243" t="e">
        <f t="shared" si="31"/>
        <v>#N/A</v>
      </c>
      <c r="L69" s="240" t="e">
        <f t="shared" si="31"/>
        <v>#N/A</v>
      </c>
      <c r="M69" s="152"/>
      <c r="N69" s="244"/>
      <c r="O69" s="152"/>
      <c r="P69" s="243">
        <f>B66</f>
        <v>26</v>
      </c>
      <c r="Q69" s="131" t="e">
        <f>$A66</f>
        <v>#N/A</v>
      </c>
      <c r="R69" s="131">
        <v>4</v>
      </c>
      <c r="S69" s="131" t="e">
        <f>$A66</f>
        <v>#N/A</v>
      </c>
      <c r="T69" s="152" t="e">
        <f t="shared" ref="T69:Z69" si="32">F69</f>
        <v>#N/A</v>
      </c>
      <c r="U69" s="152" t="e">
        <f t="shared" si="32"/>
        <v>#N/A</v>
      </c>
      <c r="V69" s="152" t="e">
        <f t="shared" si="32"/>
        <v>#N/A</v>
      </c>
      <c r="W69" s="152" t="e">
        <f t="shared" si="32"/>
        <v>#N/A</v>
      </c>
      <c r="X69" s="152" t="e">
        <f t="shared" si="32"/>
        <v>#N/A</v>
      </c>
      <c r="Y69" s="152" t="e">
        <f t="shared" si="32"/>
        <v>#N/A</v>
      </c>
      <c r="Z69" s="152" t="e">
        <f t="shared" si="32"/>
        <v>#N/A</v>
      </c>
      <c r="AB69" s="86"/>
      <c r="AC69" s="131"/>
      <c r="AD69" s="131"/>
    </row>
    <row r="70" spans="1:30" s="123" customFormat="1" ht="13.2" customHeight="1" thickBot="1" x14ac:dyDescent="0.4">
      <c r="A70" s="245"/>
      <c r="B70" s="245"/>
      <c r="C70" s="246" t="e">
        <f>VLOOKUP(B66,Уч!$A$2:$L$16,12,FALSE)</f>
        <v>#N/A</v>
      </c>
      <c r="D70" s="247"/>
      <c r="E70" s="286" t="s">
        <v>60</v>
      </c>
      <c r="F70" s="249" t="e">
        <f>RANK(F69,$T$19:$T$85,0)</f>
        <v>#N/A</v>
      </c>
      <c r="G70" s="249" t="e">
        <f>RANK(G69,$U$19:$U$85,0)</f>
        <v>#N/A</v>
      </c>
      <c r="H70" s="249" t="e">
        <f>RANK(H69,$V$19:$V$85,0)</f>
        <v>#N/A</v>
      </c>
      <c r="I70" s="249" t="e">
        <f>RANK(I69,$W$19:$W$85,0)</f>
        <v>#N/A</v>
      </c>
      <c r="J70" s="249" t="e">
        <f>RANK(J69,$X$19:$X$85,0)</f>
        <v>#N/A</v>
      </c>
      <c r="K70" s="249" t="e">
        <f>RANK(K69,$Y$19:$Y$85,0)</f>
        <v>#N/A</v>
      </c>
      <c r="L70" s="250" t="e">
        <f>RANK(L69,$Z$19:$Z$85,0)</f>
        <v>#N/A</v>
      </c>
      <c r="M70" s="251"/>
      <c r="N70" s="252"/>
      <c r="O70" s="251"/>
      <c r="P70" s="243">
        <f>B66</f>
        <v>26</v>
      </c>
      <c r="Q70" s="131" t="e">
        <f>$A66</f>
        <v>#N/A</v>
      </c>
      <c r="R70" s="131">
        <v>5</v>
      </c>
      <c r="S70" s="131" t="e">
        <f>$A66</f>
        <v>#N/A</v>
      </c>
      <c r="T70" s="236"/>
      <c r="U70" s="236"/>
      <c r="V70" s="236"/>
      <c r="W70" s="236"/>
      <c r="X70" s="236"/>
      <c r="Y70" s="236"/>
      <c r="Z70" s="236"/>
      <c r="AB70" s="86"/>
      <c r="AC70" s="131"/>
      <c r="AD70" s="131"/>
    </row>
    <row r="71" spans="1:30" s="123" customFormat="1" ht="13.2" customHeight="1" thickTop="1" x14ac:dyDescent="0.35">
      <c r="A71" s="86" t="e">
        <f>RANK(M71,$M$16:$M$85,0)</f>
        <v>#N/A</v>
      </c>
      <c r="B71" s="86">
        <v>23</v>
      </c>
      <c r="C71" s="123" t="str">
        <f>VLOOKUP(B71,Уч!$A$2:$L$16,2,FALSE)</f>
        <v>Пириева Марина</v>
      </c>
      <c r="D71" s="231" t="str">
        <f>VLOOKUP(B71,Уч!$A$2:$L$16,3,FALSE)</f>
        <v>16.07.1998</v>
      </c>
      <c r="E71" s="285" t="s">
        <v>18</v>
      </c>
      <c r="F71" s="233">
        <f>VLOOKUP($B71,'110 сб '!$C$17:$I$87,5,FALSE)</f>
        <v>14.67</v>
      </c>
      <c r="G71" s="233">
        <f>VLOOKUP($B71,высота!$C$17:$AF$42,29,FALSE)</f>
        <v>1.71</v>
      </c>
      <c r="H71" s="233">
        <f>VLOOKUP($B71,ядро!$C$17:$K$43,8,FALSE)</f>
        <v>0</v>
      </c>
      <c r="I71" s="233" t="e">
        <f>VLOOKUP($B71,'2_р'!$C$17:$I$68,5,FALSE)</f>
        <v>#N/A</v>
      </c>
      <c r="J71" s="233" t="e">
        <f>VLOOKUP($B71,Дл_р!$C$17:$O$43,11,FALSE)</f>
        <v>#N/A</v>
      </c>
      <c r="K71" s="233" t="e">
        <f>VLOOKUP($B71,К_р!$C$18:$K$31,8,FALSE)</f>
        <v>#N/A</v>
      </c>
      <c r="L71" s="234" t="e">
        <f>VLOOKUP($B71,'8_р'!$C$17:$H$77,5,FALSE)</f>
        <v>#N/A</v>
      </c>
      <c r="M71" s="152" t="e">
        <f>SUM(F73:L73)</f>
        <v>#N/A</v>
      </c>
      <c r="N71" s="86" t="e">
        <f>LOOKUP(M71,R$1:AA$1,R$2:AA$2)</f>
        <v>#N/A</v>
      </c>
      <c r="O71" s="86" t="e">
        <f>AC71+AD71+5</f>
        <v>#N/A</v>
      </c>
      <c r="P71" s="86">
        <f>B71</f>
        <v>23</v>
      </c>
      <c r="Q71" s="131" t="e">
        <f>$A71</f>
        <v>#N/A</v>
      </c>
      <c r="R71" s="131">
        <v>1</v>
      </c>
      <c r="S71" s="131" t="e">
        <f>$A71</f>
        <v>#N/A</v>
      </c>
      <c r="T71" s="236"/>
      <c r="U71" s="236"/>
      <c r="V71" s="236"/>
      <c r="W71" s="236"/>
      <c r="X71" s="236"/>
      <c r="Y71" s="236"/>
      <c r="Z71" s="236"/>
      <c r="AB71" s="86"/>
      <c r="AC71" s="131" t="e">
        <f>IF(AND(Q71&gt;16,M71&gt;=4600),"1",LOOKUP(Q71,Q$5:AH$5,Q$6:AH$6))</f>
        <v>#N/A</v>
      </c>
      <c r="AD71" s="131" t="e">
        <f>LOOKUP(N71,R$8:W$8,R$9:W$9)</f>
        <v>#N/A</v>
      </c>
    </row>
    <row r="72" spans="1:30" s="123" customFormat="1" ht="13.2" customHeight="1" x14ac:dyDescent="0.35">
      <c r="A72" s="86"/>
      <c r="B72" s="86"/>
      <c r="C72" s="123" t="str">
        <f>VLOOKUP(B71,Уч!$A$2:$L$16,5,FALSE)</f>
        <v xml:space="preserve">ЮФО (К)  </v>
      </c>
      <c r="D72" s="231" t="str">
        <f>VLOOKUP(B71,Уч!$A$2:$L$16,4,FALSE)</f>
        <v>КМС</v>
      </c>
      <c r="E72" s="285" t="s">
        <v>25</v>
      </c>
      <c r="F72" s="238">
        <f>VLOOKUP($B71,'110 сб '!$C$17:$I$87,6,FALSE)</f>
        <v>0</v>
      </c>
      <c r="G72" s="239"/>
      <c r="H72" s="239"/>
      <c r="I72" s="238" t="e">
        <f>VLOOKUP($B71,'2_р'!$C$17:$I$68,6,FALSE)</f>
        <v>#N/A</v>
      </c>
      <c r="J72" s="238" t="e">
        <f>VLOOKUP($B71,Дл_р!$C$17:$O$43,12,FALSE)</f>
        <v>#N/A</v>
      </c>
      <c r="K72" s="239"/>
      <c r="L72" s="240"/>
      <c r="M72" s="152"/>
      <c r="N72" s="86"/>
      <c r="O72" s="86" t="e">
        <f>CONCATENATE(AC71,"+",AD71,"+",5)</f>
        <v>#N/A</v>
      </c>
      <c r="P72" s="86">
        <f>B71</f>
        <v>23</v>
      </c>
      <c r="Q72" s="131" t="e">
        <f>$A71</f>
        <v>#N/A</v>
      </c>
      <c r="R72" s="131">
        <v>2</v>
      </c>
      <c r="S72" s="131" t="e">
        <f>$A71</f>
        <v>#N/A</v>
      </c>
      <c r="T72" s="236"/>
      <c r="U72" s="236"/>
      <c r="V72" s="236"/>
      <c r="W72" s="236"/>
      <c r="X72" s="236"/>
      <c r="Y72" s="236"/>
      <c r="Z72" s="236"/>
      <c r="AB72" s="86"/>
      <c r="AC72" s="131"/>
      <c r="AD72" s="131"/>
    </row>
    <row r="73" spans="1:30" s="123" customFormat="1" ht="13.2" customHeight="1" x14ac:dyDescent="0.35">
      <c r="A73" s="86"/>
      <c r="B73" s="86"/>
      <c r="C73" s="241" t="str">
        <f>VLOOKUP(B71,Уч!$A$2:$L$16,7,FALSE)</f>
        <v>ГБУ РК "СШ №1 г.Симферополь"</v>
      </c>
      <c r="D73" s="242"/>
      <c r="E73" s="285" t="s">
        <v>29</v>
      </c>
      <c r="F73" s="243">
        <f>VLOOKUP($B71,'110 сб '!$C$17:$I$87,7,FALSE)</f>
        <v>886</v>
      </c>
      <c r="G73" s="243">
        <f>VLOOKUP($B71,высота!$C$17:$AF$42,30,FALSE)</f>
        <v>0</v>
      </c>
      <c r="H73" s="243">
        <f>VLOOKUP($B71,ядро!$C$17:$K$43,9,FALSE)</f>
        <v>0</v>
      </c>
      <c r="I73" s="243" t="e">
        <f>VLOOKUP($B71,'2_р'!$C$17:$I$68,7,FALSE)</f>
        <v>#N/A</v>
      </c>
      <c r="J73" s="243" t="e">
        <f>VLOOKUP($B71,Дл_р!$C$17:$O$43,13,FALSE)</f>
        <v>#N/A</v>
      </c>
      <c r="K73" s="243" t="e">
        <f>VLOOKUP($B71,К_р!$C$18:$K$31,9,FALSE)</f>
        <v>#N/A</v>
      </c>
      <c r="L73" s="240" t="e">
        <f>VLOOKUP($B71,'8_р'!$C$17:$H$77,6,FALSE)</f>
        <v>#N/A</v>
      </c>
      <c r="M73" s="152"/>
      <c r="N73" s="244"/>
      <c r="O73" s="152"/>
      <c r="P73" s="243">
        <f>B71</f>
        <v>23</v>
      </c>
      <c r="Q73" s="131" t="e">
        <f>$A71</f>
        <v>#N/A</v>
      </c>
      <c r="R73" s="131">
        <v>3</v>
      </c>
      <c r="S73" s="131" t="e">
        <f>$A71</f>
        <v>#N/A</v>
      </c>
      <c r="T73" s="236"/>
      <c r="U73" s="236"/>
      <c r="V73" s="236"/>
      <c r="W73" s="236"/>
      <c r="X73" s="236"/>
      <c r="Y73" s="236"/>
      <c r="Z73" s="236"/>
      <c r="AB73" s="86"/>
      <c r="AC73" s="131"/>
      <c r="AD73" s="131"/>
    </row>
    <row r="74" spans="1:30" s="123" customFormat="1" ht="13.2" customHeight="1" x14ac:dyDescent="0.35">
      <c r="A74" s="86"/>
      <c r="B74" s="86"/>
      <c r="C74" s="241" t="str">
        <f>VLOOKUP(B71,Уч!$A$2:$L$16,11,FALSE)</f>
        <v>Леонов О.Н., Копытич А.Л., Копытич Д.Л.</v>
      </c>
      <c r="D74" s="131"/>
      <c r="E74" s="285" t="s">
        <v>125</v>
      </c>
      <c r="F74" s="243">
        <f>F73</f>
        <v>886</v>
      </c>
      <c r="G74" s="243">
        <f t="shared" ref="G74:L74" si="33">F74+G73</f>
        <v>886</v>
      </c>
      <c r="H74" s="243">
        <f t="shared" si="33"/>
        <v>886</v>
      </c>
      <c r="I74" s="243" t="e">
        <f t="shared" si="33"/>
        <v>#N/A</v>
      </c>
      <c r="J74" s="243" t="e">
        <f t="shared" si="33"/>
        <v>#N/A</v>
      </c>
      <c r="K74" s="243" t="e">
        <f t="shared" si="33"/>
        <v>#N/A</v>
      </c>
      <c r="L74" s="240" t="e">
        <f t="shared" si="33"/>
        <v>#N/A</v>
      </c>
      <c r="M74" s="152"/>
      <c r="N74" s="244"/>
      <c r="O74" s="152"/>
      <c r="P74" s="243">
        <f>B71</f>
        <v>23</v>
      </c>
      <c r="Q74" s="131" t="e">
        <f>$A71</f>
        <v>#N/A</v>
      </c>
      <c r="R74" s="131">
        <v>4</v>
      </c>
      <c r="S74" s="131" t="e">
        <f>$A71</f>
        <v>#N/A</v>
      </c>
      <c r="T74" s="152">
        <f t="shared" ref="T74:Z74" si="34">F74</f>
        <v>886</v>
      </c>
      <c r="U74" s="152">
        <f t="shared" si="34"/>
        <v>886</v>
      </c>
      <c r="V74" s="152">
        <f t="shared" si="34"/>
        <v>886</v>
      </c>
      <c r="W74" s="152" t="e">
        <f t="shared" si="34"/>
        <v>#N/A</v>
      </c>
      <c r="X74" s="152" t="e">
        <f t="shared" si="34"/>
        <v>#N/A</v>
      </c>
      <c r="Y74" s="152" t="e">
        <f t="shared" si="34"/>
        <v>#N/A</v>
      </c>
      <c r="Z74" s="152" t="e">
        <f t="shared" si="34"/>
        <v>#N/A</v>
      </c>
      <c r="AB74" s="86"/>
      <c r="AC74" s="131"/>
      <c r="AD74" s="131"/>
    </row>
    <row r="75" spans="1:30" s="123" customFormat="1" ht="13.2" customHeight="1" thickBot="1" x14ac:dyDescent="0.4">
      <c r="A75" s="245"/>
      <c r="B75" s="245"/>
      <c r="C75" s="246" t="str">
        <f>VLOOKUP(B71,Уч!$A$2:$L$16,12,FALSE)</f>
        <v/>
      </c>
      <c r="D75" s="247"/>
      <c r="E75" s="286" t="s">
        <v>60</v>
      </c>
      <c r="F75" s="249" t="e">
        <f>RANK(F74,$T$19:$T$85,0)</f>
        <v>#N/A</v>
      </c>
      <c r="G75" s="249" t="e">
        <f>RANK(G74,$U$19:$U$85,0)</f>
        <v>#N/A</v>
      </c>
      <c r="H75" s="249" t="e">
        <f>RANK(H74,$V$19:$V$85,0)</f>
        <v>#N/A</v>
      </c>
      <c r="I75" s="249" t="e">
        <f>RANK(I74,$W$19:$W$85,0)</f>
        <v>#N/A</v>
      </c>
      <c r="J75" s="249" t="e">
        <f>RANK(J74,$X$19:$X$85,0)</f>
        <v>#N/A</v>
      </c>
      <c r="K75" s="249" t="e">
        <f>RANK(K74,$Y$19:$Y$85,0)</f>
        <v>#N/A</v>
      </c>
      <c r="L75" s="250" t="e">
        <f>RANK(L74,$Z$19:$Z$85,0)</f>
        <v>#N/A</v>
      </c>
      <c r="M75" s="251"/>
      <c r="N75" s="252"/>
      <c r="O75" s="251"/>
      <c r="P75" s="243">
        <f>B71</f>
        <v>23</v>
      </c>
      <c r="Q75" s="131" t="e">
        <f>$A71</f>
        <v>#N/A</v>
      </c>
      <c r="R75" s="131">
        <v>5</v>
      </c>
      <c r="S75" s="131" t="e">
        <f>$A71</f>
        <v>#N/A</v>
      </c>
      <c r="T75" s="236"/>
      <c r="U75" s="236"/>
      <c r="V75" s="236"/>
      <c r="W75" s="236"/>
      <c r="X75" s="236"/>
      <c r="Y75" s="236"/>
      <c r="Z75" s="236"/>
      <c r="AB75" s="86"/>
      <c r="AC75" s="131"/>
      <c r="AD75" s="131"/>
    </row>
    <row r="76" spans="1:30" s="123" customFormat="1" ht="13.2" customHeight="1" thickTop="1" x14ac:dyDescent="0.35">
      <c r="A76" s="68" t="e">
        <f>RANK(M76,$M$16:$M$85,0)</f>
        <v>#N/A</v>
      </c>
      <c r="B76" s="86">
        <v>42</v>
      </c>
      <c r="C76" s="123" t="e">
        <f>VLOOKUP(B76,Уч!$A$2:$L$16,2,FALSE)</f>
        <v>#N/A</v>
      </c>
      <c r="D76" s="231" t="e">
        <f>VLOOKUP(B76,Уч!$A$2:$L$16,3,FALSE)</f>
        <v>#N/A</v>
      </c>
      <c r="E76" s="285" t="s">
        <v>18</v>
      </c>
      <c r="F76" s="233" t="e">
        <f>VLOOKUP($B76,'110 сб '!$C$17:$I$87,5,FALSE)</f>
        <v>#N/A</v>
      </c>
      <c r="G76" s="256" t="e">
        <f>VLOOKUP($B76,высота!$C$17:$AF$42,29,FALSE)</f>
        <v>#N/A</v>
      </c>
      <c r="H76" s="256" t="e">
        <f>VLOOKUP($B76,ядро!$C$17:$K$43,8,FALSE)</f>
        <v>#N/A</v>
      </c>
      <c r="I76" s="256">
        <f>VLOOKUP($B76,'2_р'!$C$17:$I$68,5,FALSE)</f>
        <v>0</v>
      </c>
      <c r="J76" s="256" t="e">
        <f>VLOOKUP($B76,Дл_р!$C$17:$O$43,11,FALSE)</f>
        <v>#N/A</v>
      </c>
      <c r="K76" s="256" t="e">
        <f>VLOOKUP($B76,К_р!$C$18:$K$31,8,FALSE)</f>
        <v>#N/A</v>
      </c>
      <c r="L76" s="257">
        <f>VLOOKUP($B76,'8_р'!$C$17:$H$77,5,FALSE)</f>
        <v>0</v>
      </c>
      <c r="M76" s="174" t="e">
        <f>SUM(F78:L78)</f>
        <v>#N/A</v>
      </c>
      <c r="N76" s="68" t="e">
        <f>LOOKUP(M76,R$1:AA$1,R$2:AA$2)</f>
        <v>#N/A</v>
      </c>
      <c r="O76" s="86" t="e">
        <f>AC76+AD76+5</f>
        <v>#N/A</v>
      </c>
      <c r="P76" s="86">
        <f>B76</f>
        <v>42</v>
      </c>
      <c r="Q76" s="131" t="e">
        <f>$A76</f>
        <v>#N/A</v>
      </c>
      <c r="R76" s="131">
        <v>1</v>
      </c>
      <c r="S76" s="131" t="e">
        <f>$A76</f>
        <v>#N/A</v>
      </c>
      <c r="T76" s="236"/>
      <c r="U76" s="236"/>
      <c r="V76" s="236"/>
      <c r="W76" s="236"/>
      <c r="X76" s="236"/>
      <c r="Y76" s="236"/>
      <c r="Z76" s="236"/>
      <c r="AB76" s="86"/>
      <c r="AC76" s="131" t="e">
        <f>IF(AND(Q76&gt;16,M76&gt;=4600),"1",LOOKUP(Q76,Q$5:AH$5,Q$6:AH$6))</f>
        <v>#N/A</v>
      </c>
      <c r="AD76" s="131" t="e">
        <f>LOOKUP(N76,R$8:W$8,R$9:W$9)</f>
        <v>#N/A</v>
      </c>
    </row>
    <row r="77" spans="1:30" s="123" customFormat="1" ht="13.2" customHeight="1" x14ac:dyDescent="0.35">
      <c r="A77" s="86"/>
      <c r="B77" s="86"/>
      <c r="C77" s="123" t="e">
        <f>VLOOKUP(B76,Уч!$A$2:$L$16,5,FALSE)</f>
        <v>#N/A</v>
      </c>
      <c r="D77" s="231" t="e">
        <f>VLOOKUP(B76,Уч!$A$2:$L$16,4,FALSE)</f>
        <v>#N/A</v>
      </c>
      <c r="E77" s="285" t="s">
        <v>25</v>
      </c>
      <c r="F77" s="238" t="e">
        <f>VLOOKUP($B76,'110 сб '!$C$17:$I$87,6,FALSE)</f>
        <v>#N/A</v>
      </c>
      <c r="G77" s="258"/>
      <c r="H77" s="258"/>
      <c r="I77" s="259">
        <f>VLOOKUP($B76,'2_р'!$C$17:$I$68,6,FALSE)</f>
        <v>0</v>
      </c>
      <c r="J77" s="259" t="e">
        <f>VLOOKUP($B76,Дл_р!$C$17:$O$43,12,FALSE)</f>
        <v>#N/A</v>
      </c>
      <c r="K77" s="258"/>
      <c r="L77" s="260"/>
      <c r="M77" s="152"/>
      <c r="N77" s="86"/>
      <c r="O77" s="86" t="e">
        <f>CONCATENATE(AC76,"+",AD76,"+",5)</f>
        <v>#N/A</v>
      </c>
      <c r="P77" s="86">
        <f>B76</f>
        <v>42</v>
      </c>
      <c r="Q77" s="131" t="e">
        <f>$A76</f>
        <v>#N/A</v>
      </c>
      <c r="R77" s="131">
        <v>2</v>
      </c>
      <c r="S77" s="131" t="e">
        <f>$A76</f>
        <v>#N/A</v>
      </c>
      <c r="T77" s="236"/>
      <c r="U77" s="236"/>
      <c r="V77" s="236"/>
      <c r="W77" s="236"/>
      <c r="X77" s="236"/>
      <c r="Y77" s="236"/>
      <c r="Z77" s="236"/>
      <c r="AB77" s="86"/>
      <c r="AC77" s="131"/>
      <c r="AD77" s="131"/>
    </row>
    <row r="78" spans="1:30" s="123" customFormat="1" ht="13.2" customHeight="1" x14ac:dyDescent="0.35">
      <c r="A78" s="86"/>
      <c r="B78" s="86"/>
      <c r="C78" s="241" t="e">
        <f>VLOOKUP(B76,Уч!$A$2:$L$16,7,FALSE)</f>
        <v>#N/A</v>
      </c>
      <c r="D78" s="242"/>
      <c r="E78" s="285" t="s">
        <v>29</v>
      </c>
      <c r="F78" s="243" t="e">
        <f>VLOOKUP($B76,'110 сб '!$C$17:$I$87,7,FALSE)</f>
        <v>#N/A</v>
      </c>
      <c r="G78" s="261" t="e">
        <f>VLOOKUP($B76,высота!$C$17:$AF$42,30,FALSE)</f>
        <v>#N/A</v>
      </c>
      <c r="H78" s="261" t="e">
        <f>VLOOKUP($B76,ядро!$C$17:$K$43,9,FALSE)</f>
        <v>#N/A</v>
      </c>
      <c r="I78" s="261">
        <f>VLOOKUP($B76,'2_р'!$C$17:$I$68,7,FALSE)</f>
        <v>0</v>
      </c>
      <c r="J78" s="261" t="e">
        <f>VLOOKUP($B76,Дл_р!$C$17:$O$43,13,FALSE)</f>
        <v>#N/A</v>
      </c>
      <c r="K78" s="261" t="e">
        <f>VLOOKUP($B76,К_р!$C$18:$K$31,9,FALSE)</f>
        <v>#N/A</v>
      </c>
      <c r="L78" s="260">
        <f>VLOOKUP($B76,'8_р'!$C$17:$H$77,6,FALSE)</f>
        <v>0</v>
      </c>
      <c r="M78" s="152"/>
      <c r="N78" s="244"/>
      <c r="O78" s="152"/>
      <c r="P78" s="243">
        <f>B76</f>
        <v>42</v>
      </c>
      <c r="Q78" s="131" t="e">
        <f>$A76</f>
        <v>#N/A</v>
      </c>
      <c r="R78" s="131">
        <v>3</v>
      </c>
      <c r="S78" s="131" t="e">
        <f>$A76</f>
        <v>#N/A</v>
      </c>
      <c r="T78" s="236"/>
      <c r="U78" s="236"/>
      <c r="V78" s="236"/>
      <c r="W78" s="236"/>
      <c r="X78" s="236"/>
      <c r="Y78" s="236"/>
      <c r="Z78" s="236"/>
      <c r="AB78" s="86"/>
      <c r="AC78" s="131"/>
      <c r="AD78" s="131"/>
    </row>
    <row r="79" spans="1:30" s="123" customFormat="1" ht="13.2" customHeight="1" x14ac:dyDescent="0.35">
      <c r="A79" s="86"/>
      <c r="B79" s="86"/>
      <c r="C79" s="241" t="e">
        <f>VLOOKUP(B76,Уч!$A$2:$L$16,11,FALSE)</f>
        <v>#N/A</v>
      </c>
      <c r="D79" s="131"/>
      <c r="E79" s="285" t="s">
        <v>125</v>
      </c>
      <c r="F79" s="243" t="e">
        <f>F78</f>
        <v>#N/A</v>
      </c>
      <c r="G79" s="261" t="e">
        <f t="shared" ref="G79:L79" si="35">F79+G78</f>
        <v>#N/A</v>
      </c>
      <c r="H79" s="261" t="e">
        <f t="shared" si="35"/>
        <v>#N/A</v>
      </c>
      <c r="I79" s="261" t="e">
        <f t="shared" si="35"/>
        <v>#N/A</v>
      </c>
      <c r="J79" s="261" t="e">
        <f t="shared" si="35"/>
        <v>#N/A</v>
      </c>
      <c r="K79" s="261" t="e">
        <f t="shared" si="35"/>
        <v>#N/A</v>
      </c>
      <c r="L79" s="260" t="e">
        <f t="shared" si="35"/>
        <v>#N/A</v>
      </c>
      <c r="M79" s="152"/>
      <c r="N79" s="244"/>
      <c r="O79" s="152"/>
      <c r="P79" s="243">
        <f>B76</f>
        <v>42</v>
      </c>
      <c r="Q79" s="131" t="e">
        <f>$A76</f>
        <v>#N/A</v>
      </c>
      <c r="R79" s="131">
        <v>4</v>
      </c>
      <c r="S79" s="131" t="e">
        <f>$A76</f>
        <v>#N/A</v>
      </c>
      <c r="T79" s="152" t="e">
        <f t="shared" ref="T79:Z79" si="36">F79</f>
        <v>#N/A</v>
      </c>
      <c r="U79" s="152" t="e">
        <f t="shared" si="36"/>
        <v>#N/A</v>
      </c>
      <c r="V79" s="152" t="e">
        <f t="shared" si="36"/>
        <v>#N/A</v>
      </c>
      <c r="W79" s="152" t="e">
        <f t="shared" si="36"/>
        <v>#N/A</v>
      </c>
      <c r="X79" s="152" t="e">
        <f t="shared" si="36"/>
        <v>#N/A</v>
      </c>
      <c r="Y79" s="152" t="e">
        <f t="shared" si="36"/>
        <v>#N/A</v>
      </c>
      <c r="Z79" s="152" t="e">
        <f t="shared" si="36"/>
        <v>#N/A</v>
      </c>
      <c r="AB79" s="86"/>
      <c r="AC79" s="131"/>
      <c r="AD79" s="131"/>
    </row>
    <row r="80" spans="1:30" s="123" customFormat="1" ht="13.2" customHeight="1" thickBot="1" x14ac:dyDescent="0.4">
      <c r="A80" s="245"/>
      <c r="B80" s="245"/>
      <c r="C80" s="246" t="e">
        <f>VLOOKUP(B76,Уч!$A$2:$L$16,12,FALSE)</f>
        <v>#N/A</v>
      </c>
      <c r="D80" s="247"/>
      <c r="E80" s="286" t="s">
        <v>60</v>
      </c>
      <c r="F80" s="249" t="e">
        <f>RANK(F79,$T$19:$T$85,0)</f>
        <v>#N/A</v>
      </c>
      <c r="G80" s="262" t="e">
        <f>RANK(G79,$U$19:$U$85,0)</f>
        <v>#N/A</v>
      </c>
      <c r="H80" s="262" t="e">
        <f>RANK(H79,$V$19:$V$85,0)</f>
        <v>#N/A</v>
      </c>
      <c r="I80" s="262" t="e">
        <f>RANK(I79,$W$19:$W$85,0)</f>
        <v>#N/A</v>
      </c>
      <c r="J80" s="262" t="e">
        <f>RANK(J79,$X$19:$X$85,0)</f>
        <v>#N/A</v>
      </c>
      <c r="K80" s="262" t="e">
        <f>RANK(K79,$Y$19:$Y$85,0)</f>
        <v>#N/A</v>
      </c>
      <c r="L80" s="263" t="e">
        <f>RANK(L79,$Z$19:$Z$85,0)</f>
        <v>#N/A</v>
      </c>
      <c r="M80" s="251"/>
      <c r="N80" s="252"/>
      <c r="O80" s="251"/>
      <c r="P80" s="243">
        <f>B76</f>
        <v>42</v>
      </c>
      <c r="Q80" s="131" t="e">
        <f>$A76</f>
        <v>#N/A</v>
      </c>
      <c r="R80" s="131">
        <v>5</v>
      </c>
      <c r="S80" s="131" t="e">
        <f>$A76</f>
        <v>#N/A</v>
      </c>
      <c r="T80" s="236"/>
      <c r="U80" s="236"/>
      <c r="V80" s="236"/>
      <c r="W80" s="236"/>
      <c r="X80" s="236"/>
      <c r="Y80" s="236"/>
      <c r="Z80" s="236"/>
      <c r="AB80" s="86"/>
      <c r="AC80" s="131"/>
      <c r="AD80" s="131"/>
    </row>
    <row r="81" spans="1:30" s="123" customFormat="1" ht="13.2" customHeight="1" thickTop="1" x14ac:dyDescent="0.35">
      <c r="A81" s="86" t="e">
        <f>RANK(M81,$M$16:$M$85,0)</f>
        <v>#N/A</v>
      </c>
      <c r="B81" s="86">
        <v>49</v>
      </c>
      <c r="C81" s="123" t="e">
        <f>VLOOKUP(B81,Уч!$A$2:$L$16,2,FALSE)</f>
        <v>#N/A</v>
      </c>
      <c r="D81" s="231" t="e">
        <f>VLOOKUP(B81,Уч!$A$2:$L$16,3,FALSE)</f>
        <v>#N/A</v>
      </c>
      <c r="E81" s="285" t="s">
        <v>18</v>
      </c>
      <c r="F81" s="233" t="e">
        <f>VLOOKUP($B81,'110 сб '!$C$17:$I$87,5,FALSE)</f>
        <v>#N/A</v>
      </c>
      <c r="G81" s="233" t="e">
        <f>VLOOKUP($B81,высота!$C$17:$AF$42,29,FALSE)</f>
        <v>#N/A</v>
      </c>
      <c r="H81" s="233" t="e">
        <f>VLOOKUP($B81,ядро!$C$17:$K$43,8,FALSE)</f>
        <v>#N/A</v>
      </c>
      <c r="I81" s="233" t="e">
        <f>VLOOKUP($B81,'2_р'!$C$17:$I$68,5,FALSE)</f>
        <v>#N/A</v>
      </c>
      <c r="J81" s="233" t="e">
        <f>VLOOKUP($B81,Дл_р!$C$17:$O$43,11,FALSE)</f>
        <v>#N/A</v>
      </c>
      <c r="K81" s="233" t="e">
        <f>VLOOKUP($B81,К_р!$C$18:$K$31,8,FALSE)</f>
        <v>#N/A</v>
      </c>
      <c r="L81" s="234">
        <f>VLOOKUP($B81,'8_р'!$C$17:$H$77,5,FALSE)</f>
        <v>0</v>
      </c>
      <c r="M81" s="15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49</v>
      </c>
      <c r="Q81" s="131" t="e">
        <f>$A81</f>
        <v>#N/A</v>
      </c>
      <c r="R81" s="131">
        <v>1</v>
      </c>
      <c r="S81" s="131" t="e">
        <f>$A81</f>
        <v>#N/A</v>
      </c>
      <c r="T81" s="236"/>
      <c r="U81" s="236"/>
      <c r="V81" s="236"/>
      <c r="W81" s="236"/>
      <c r="X81" s="236"/>
      <c r="Y81" s="236"/>
      <c r="Z81" s="236"/>
      <c r="AB81" s="86"/>
      <c r="AC81" s="131" t="e">
        <f>IF(AND(Q81&gt;16,M81&gt;=4600),"1",LOOKUP(Q81,Q$5:AH$5,Q$6:AH$6))</f>
        <v>#N/A</v>
      </c>
      <c r="AD81" s="131" t="e">
        <f>LOOKUP(N81,R$8:W$8,R$9:W$9)</f>
        <v>#N/A</v>
      </c>
    </row>
    <row r="82" spans="1:30" s="123" customFormat="1" ht="13.2" customHeight="1" x14ac:dyDescent="0.35">
      <c r="A82" s="86"/>
      <c r="B82" s="86"/>
      <c r="C82" s="123" t="e">
        <f>VLOOKUP(B81,Уч!$A$2:$L$16,5,FALSE)</f>
        <v>#N/A</v>
      </c>
      <c r="D82" s="231" t="e">
        <f>VLOOKUP(B81,Уч!$A$2:$L$16,4,FALSE)</f>
        <v>#N/A</v>
      </c>
      <c r="E82" s="285" t="s">
        <v>25</v>
      </c>
      <c r="F82" s="238" t="e">
        <f>VLOOKUP($B81,'110 сб '!$C$17:$I$87,6,FALSE)</f>
        <v>#N/A</v>
      </c>
      <c r="G82" s="239"/>
      <c r="H82" s="239"/>
      <c r="I82" s="238" t="e">
        <f>VLOOKUP($B81,'2_р'!$C$17:$I$68,6,FALSE)</f>
        <v>#N/A</v>
      </c>
      <c r="J82" s="238" t="e">
        <f>VLOOKUP($B81,Дл_р!$C$17:$O$43,12,FALSE)</f>
        <v>#N/A</v>
      </c>
      <c r="K82" s="239"/>
      <c r="L82" s="240"/>
      <c r="M82" s="152"/>
      <c r="N82" s="86"/>
      <c r="O82" s="86" t="e">
        <f>CONCATENATE(AC81,"+",AD81,"+",5)</f>
        <v>#N/A</v>
      </c>
      <c r="P82" s="86">
        <f>B81</f>
        <v>49</v>
      </c>
      <c r="Q82" s="131" t="e">
        <f>$A81</f>
        <v>#N/A</v>
      </c>
      <c r="R82" s="131">
        <v>2</v>
      </c>
      <c r="S82" s="131" t="e">
        <f>$A81</f>
        <v>#N/A</v>
      </c>
      <c r="T82" s="236"/>
      <c r="U82" s="236"/>
      <c r="V82" s="236"/>
      <c r="W82" s="236"/>
      <c r="X82" s="236"/>
      <c r="Y82" s="236"/>
      <c r="Z82" s="236"/>
      <c r="AB82" s="86"/>
      <c r="AC82" s="131"/>
      <c r="AD82" s="131"/>
    </row>
    <row r="83" spans="1:30" s="123" customFormat="1" ht="13.2" customHeight="1" x14ac:dyDescent="0.35">
      <c r="A83" s="86"/>
      <c r="B83" s="86"/>
      <c r="C83" s="241" t="e">
        <f>VLOOKUP(B81,Уч!$A$2:$L$16,7,FALSE)</f>
        <v>#N/A</v>
      </c>
      <c r="D83" s="242"/>
      <c r="E83" s="285" t="s">
        <v>29</v>
      </c>
      <c r="F83" s="243" t="e">
        <f>VLOOKUP($B81,'110 сб '!$C$17:$I$87,7,FALSE)</f>
        <v>#N/A</v>
      </c>
      <c r="G83" s="243" t="e">
        <f>VLOOKUP($B81,высота!$C$17:$AF$42,30,FALSE)</f>
        <v>#N/A</v>
      </c>
      <c r="H83" s="243" t="e">
        <f>VLOOKUP($B81,ядро!$C$17:$K$43,9,FALSE)</f>
        <v>#N/A</v>
      </c>
      <c r="I83" s="243" t="e">
        <f>VLOOKUP($B81,'2_р'!$C$17:$I$68,7,FALSE)</f>
        <v>#N/A</v>
      </c>
      <c r="J83" s="243" t="e">
        <f>VLOOKUP($B81,Дл_р!$C$17:$O$43,13,FALSE)</f>
        <v>#N/A</v>
      </c>
      <c r="K83" s="243" t="e">
        <f>VLOOKUP($B81,К_р!$C$18:$K$31,9,FALSE)</f>
        <v>#N/A</v>
      </c>
      <c r="L83" s="240">
        <f>VLOOKUP($B81,'8_р'!$C$17:$H$77,6,FALSE)</f>
        <v>0</v>
      </c>
      <c r="M83" s="152"/>
      <c r="N83" s="244"/>
      <c r="O83" s="152"/>
      <c r="P83" s="243">
        <f>B81</f>
        <v>49</v>
      </c>
      <c r="Q83" s="131" t="e">
        <f>$A81</f>
        <v>#N/A</v>
      </c>
      <c r="R83" s="131">
        <v>3</v>
      </c>
      <c r="S83" s="131" t="e">
        <f>$A81</f>
        <v>#N/A</v>
      </c>
      <c r="T83" s="236"/>
      <c r="U83" s="236"/>
      <c r="V83" s="236"/>
      <c r="W83" s="236"/>
      <c r="X83" s="236"/>
      <c r="Y83" s="236"/>
      <c r="Z83" s="236"/>
      <c r="AB83" s="86"/>
      <c r="AC83" s="131"/>
      <c r="AD83" s="131"/>
    </row>
    <row r="84" spans="1:30" s="123" customFormat="1" ht="13.2" customHeight="1" x14ac:dyDescent="0.35">
      <c r="A84" s="86"/>
      <c r="B84" s="86"/>
      <c r="C84" s="241" t="e">
        <f>VLOOKUP(B81,Уч!$A$2:$L$16,11,FALSE)</f>
        <v>#N/A</v>
      </c>
      <c r="D84" s="131"/>
      <c r="E84" s="285" t="s">
        <v>125</v>
      </c>
      <c r="F84" s="243" t="e">
        <f>F83</f>
        <v>#N/A</v>
      </c>
      <c r="G84" s="243" t="e">
        <f t="shared" ref="G84:L84" si="37">F84+G83</f>
        <v>#N/A</v>
      </c>
      <c r="H84" s="243" t="e">
        <f t="shared" si="37"/>
        <v>#N/A</v>
      </c>
      <c r="I84" s="243" t="e">
        <f t="shared" si="37"/>
        <v>#N/A</v>
      </c>
      <c r="J84" s="243" t="e">
        <f t="shared" si="37"/>
        <v>#N/A</v>
      </c>
      <c r="K84" s="243" t="e">
        <f t="shared" si="37"/>
        <v>#N/A</v>
      </c>
      <c r="L84" s="240" t="e">
        <f t="shared" si="37"/>
        <v>#N/A</v>
      </c>
      <c r="M84" s="152"/>
      <c r="N84" s="244"/>
      <c r="O84" s="152"/>
      <c r="P84" s="243">
        <f>B81</f>
        <v>49</v>
      </c>
      <c r="Q84" s="131" t="e">
        <f>$A81</f>
        <v>#N/A</v>
      </c>
      <c r="R84" s="131">
        <v>4</v>
      </c>
      <c r="S84" s="131" t="e">
        <f>$A81</f>
        <v>#N/A</v>
      </c>
      <c r="T84" s="152" t="e">
        <f t="shared" ref="T84:Z84" si="38">F84</f>
        <v>#N/A</v>
      </c>
      <c r="U84" s="152" t="e">
        <f t="shared" si="38"/>
        <v>#N/A</v>
      </c>
      <c r="V84" s="152" t="e">
        <f t="shared" si="38"/>
        <v>#N/A</v>
      </c>
      <c r="W84" s="152" t="e">
        <f t="shared" si="38"/>
        <v>#N/A</v>
      </c>
      <c r="X84" s="152" t="e">
        <f t="shared" si="38"/>
        <v>#N/A</v>
      </c>
      <c r="Y84" s="152" t="e">
        <f t="shared" si="38"/>
        <v>#N/A</v>
      </c>
      <c r="Z84" s="152" t="e">
        <f t="shared" si="38"/>
        <v>#N/A</v>
      </c>
      <c r="AB84" s="86"/>
      <c r="AC84" s="131"/>
      <c r="AD84" s="131"/>
    </row>
    <row r="85" spans="1:30" s="123" customFormat="1" ht="13.2" customHeight="1" thickBot="1" x14ac:dyDescent="0.4">
      <c r="A85" s="245"/>
      <c r="B85" s="245"/>
      <c r="C85" s="246" t="e">
        <f>VLOOKUP(B81,Уч!$A$2:$L$16,12,FALSE)</f>
        <v>#N/A</v>
      </c>
      <c r="D85" s="247"/>
      <c r="E85" s="286" t="s">
        <v>60</v>
      </c>
      <c r="F85" s="249" t="e">
        <f>RANK(F84,$T$19:$T$85,0)</f>
        <v>#N/A</v>
      </c>
      <c r="G85" s="249" t="e">
        <f>RANK(G84,$U$19:$U$85,0)</f>
        <v>#N/A</v>
      </c>
      <c r="H85" s="249" t="e">
        <f>RANK(H84,$V$19:$V$85,0)</f>
        <v>#N/A</v>
      </c>
      <c r="I85" s="249" t="e">
        <f>RANK(I84,$W$19:$W$85,0)</f>
        <v>#N/A</v>
      </c>
      <c r="J85" s="249" t="e">
        <f>RANK(J84,$X$19:$X$85,0)</f>
        <v>#N/A</v>
      </c>
      <c r="K85" s="249" t="e">
        <f>RANK(K84,$Y$19:$Y$85,0)</f>
        <v>#N/A</v>
      </c>
      <c r="L85" s="250" t="e">
        <f>RANK(L84,$Z$19:$Z$85,0)</f>
        <v>#N/A</v>
      </c>
      <c r="M85" s="251"/>
      <c r="N85" s="252"/>
      <c r="O85" s="251"/>
      <c r="P85" s="243">
        <f>B81</f>
        <v>49</v>
      </c>
      <c r="Q85" s="131" t="e">
        <f>$A81</f>
        <v>#N/A</v>
      </c>
      <c r="R85" s="131">
        <v>5</v>
      </c>
      <c r="S85" s="131" t="e">
        <f>$A81</f>
        <v>#N/A</v>
      </c>
      <c r="T85" s="236"/>
      <c r="U85" s="236"/>
      <c r="V85" s="236"/>
      <c r="W85" s="236"/>
      <c r="X85" s="236"/>
      <c r="Y85" s="236"/>
      <c r="Z85" s="236"/>
      <c r="AB85" s="86"/>
      <c r="AC85" s="131"/>
      <c r="AD85" s="131"/>
    </row>
    <row r="86" spans="1:30" s="123" customFormat="1" ht="13.2" customHeight="1" thickTop="1" x14ac:dyDescent="0.35">
      <c r="A86" s="86" t="e">
        <f>RANK(M86,$M$16:$M$85,0)</f>
        <v>#N/A</v>
      </c>
      <c r="B86" s="86">
        <v>1362</v>
      </c>
      <c r="C86" s="123" t="e">
        <f>VLOOKUP(B86,Уч!$A$2:$L$16,2,FALSE)</f>
        <v>#N/A</v>
      </c>
      <c r="D86" s="231" t="e">
        <f>VLOOKUP(B86,Уч!$A$2:$L$16,3,FALSE)</f>
        <v>#N/A</v>
      </c>
      <c r="E86" s="232" t="s">
        <v>28</v>
      </c>
      <c r="F86" s="233" t="e">
        <f>VLOOKUP($B86,'110 сб '!$C$17:$I$87,5,FALSE)</f>
        <v>#N/A</v>
      </c>
      <c r="G86" s="233" t="e">
        <f>VLOOKUP($B86,высота!$C$17:$AF$42,29,FALSE)</f>
        <v>#N/A</v>
      </c>
      <c r="H86" s="233" t="e">
        <f>VLOOKUP($B86,ядро!$C$17:$K$43,8,FALSE)</f>
        <v>#N/A</v>
      </c>
      <c r="I86" s="233" t="e">
        <f>VLOOKUP($B86,'2_р'!$C$17:$I$68,5,FALSE)</f>
        <v>#N/A</v>
      </c>
      <c r="J86" s="233" t="e">
        <f>VLOOKUP($B86,Дл_р!$C$17:$O$43,11,FALSE)</f>
        <v>#N/A</v>
      </c>
      <c r="K86" s="233" t="e">
        <f>VLOOKUP($B86,К_р!$C$18:$K$31,8,FALSE)</f>
        <v>#N/A</v>
      </c>
      <c r="L86" s="234">
        <f>VLOOKUP($B86,'8_р'!$C$17:$H$77,5,FALSE)</f>
        <v>0</v>
      </c>
      <c r="M86" s="15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1362</v>
      </c>
      <c r="Q86" s="131" t="e">
        <f>$A86</f>
        <v>#N/A</v>
      </c>
      <c r="R86" s="131">
        <v>1</v>
      </c>
      <c r="S86" s="131" t="e">
        <f>$A86</f>
        <v>#N/A</v>
      </c>
      <c r="T86" s="236"/>
      <c r="U86" s="236"/>
      <c r="V86" s="236"/>
      <c r="W86" s="236"/>
      <c r="X86" s="236"/>
      <c r="Y86" s="236"/>
      <c r="Z86" s="236"/>
      <c r="AB86" s="86"/>
      <c r="AC86" s="131" t="e">
        <f>IF(AND(Q86&gt;16,M86&gt;=4600),"1",LOOKUP(Q86,Q$5:AH$5,Q$6:AH$6))</f>
        <v>#N/A</v>
      </c>
      <c r="AD86" s="131" t="e">
        <f>LOOKUP(N86,R$8:W$8,R$9:W$9)</f>
        <v>#N/A</v>
      </c>
    </row>
    <row r="87" spans="1:30" s="123" customFormat="1" ht="13.2" customHeight="1" x14ac:dyDescent="0.35">
      <c r="A87" s="86"/>
      <c r="B87" s="86"/>
      <c r="C87" s="123" t="e">
        <f>VLOOKUP(B86,Уч!$A$2:$L$16,5,FALSE)</f>
        <v>#N/A</v>
      </c>
      <c r="D87" s="231" t="e">
        <f>VLOOKUP(B86,Уч!$A$2:$L$16,4,FALSE)</f>
        <v>#N/A</v>
      </c>
      <c r="E87" s="237" t="s">
        <v>79</v>
      </c>
      <c r="F87" s="238" t="e">
        <f>VLOOKUP($B86,'110 сб '!$C$17:$I$87,6,FALSE)</f>
        <v>#N/A</v>
      </c>
      <c r="G87" s="239"/>
      <c r="H87" s="239"/>
      <c r="I87" s="238" t="e">
        <f>VLOOKUP($B86,'2_р'!$C$17:$I$68,6,FALSE)</f>
        <v>#N/A</v>
      </c>
      <c r="J87" s="238" t="e">
        <f>VLOOKUP($B86,Дл_р!$C$17:$O$43,12,FALSE)</f>
        <v>#N/A</v>
      </c>
      <c r="K87" s="239"/>
      <c r="L87" s="240"/>
      <c r="M87" s="152"/>
      <c r="N87" s="86"/>
      <c r="O87" s="86" t="e">
        <f>CONCATENATE(AC86,"+",AD86,"+",5)</f>
        <v>#N/A</v>
      </c>
      <c r="P87" s="86">
        <f>B86</f>
        <v>1362</v>
      </c>
      <c r="Q87" s="131" t="e">
        <f>$A86</f>
        <v>#N/A</v>
      </c>
      <c r="R87" s="131">
        <v>2</v>
      </c>
      <c r="S87" s="131" t="e">
        <f>$A86</f>
        <v>#N/A</v>
      </c>
      <c r="T87" s="236"/>
      <c r="U87" s="236"/>
      <c r="V87" s="236"/>
      <c r="W87" s="236"/>
      <c r="X87" s="236"/>
      <c r="Y87" s="236"/>
      <c r="Z87" s="236"/>
      <c r="AB87" s="86"/>
      <c r="AC87" s="131"/>
      <c r="AD87" s="131"/>
    </row>
    <row r="88" spans="1:30" s="123" customFormat="1" ht="13.2" customHeight="1" x14ac:dyDescent="0.35">
      <c r="A88" s="86"/>
      <c r="B88" s="86"/>
      <c r="C88" s="241" t="e">
        <f>VLOOKUP(B86,Уч!$A$2:$L$16,7,FALSE)</f>
        <v>#N/A</v>
      </c>
      <c r="D88" s="242"/>
      <c r="E88" s="237" t="s">
        <v>70</v>
      </c>
      <c r="F88" s="243" t="e">
        <f>VLOOKUP($B86,'110 сб '!$C$17:$I$87,7,FALSE)</f>
        <v>#N/A</v>
      </c>
      <c r="G88" s="243" t="e">
        <f>VLOOKUP($B86,высота!$C$17:$AF$42,30,FALSE)</f>
        <v>#N/A</v>
      </c>
      <c r="H88" s="243" t="e">
        <f>VLOOKUP($B86,ядро!$C$17:$K$43,9,FALSE)</f>
        <v>#N/A</v>
      </c>
      <c r="I88" s="243" t="e">
        <f>VLOOKUP($B86,'2_р'!$C$17:$I$68,7,FALSE)</f>
        <v>#N/A</v>
      </c>
      <c r="J88" s="243" t="e">
        <f>VLOOKUP($B86,Дл_р!$C$17:$O$43,13,FALSE)</f>
        <v>#N/A</v>
      </c>
      <c r="K88" s="243" t="e">
        <f>VLOOKUP($B86,К_р!$C$18:$K$31,9,FALSE)</f>
        <v>#N/A</v>
      </c>
      <c r="L88" s="240">
        <f>VLOOKUP($B86,'8_р'!$C$17:$H$77,6,FALSE)</f>
        <v>0</v>
      </c>
      <c r="M88" s="152"/>
      <c r="N88" s="244"/>
      <c r="O88" s="152"/>
      <c r="P88" s="243">
        <f>B86</f>
        <v>1362</v>
      </c>
      <c r="Q88" s="131" t="e">
        <f>$A86</f>
        <v>#N/A</v>
      </c>
      <c r="R88" s="131">
        <v>3</v>
      </c>
      <c r="S88" s="131" t="e">
        <f>$A86</f>
        <v>#N/A</v>
      </c>
      <c r="T88" s="236"/>
      <c r="U88" s="236"/>
      <c r="V88" s="236"/>
      <c r="W88" s="236"/>
      <c r="X88" s="236"/>
      <c r="Y88" s="236"/>
      <c r="Z88" s="236"/>
      <c r="AB88" s="86"/>
      <c r="AC88" s="131"/>
      <c r="AD88" s="131"/>
    </row>
    <row r="89" spans="1:30" s="123" customFormat="1" ht="13.2" customHeight="1" x14ac:dyDescent="0.35">
      <c r="A89" s="86"/>
      <c r="B89" s="86"/>
      <c r="C89" s="241" t="e">
        <f>VLOOKUP(B86,Уч!$A$2:$L$16,11,FALSE)</f>
        <v>#N/A</v>
      </c>
      <c r="D89" s="131"/>
      <c r="E89" s="237" t="s">
        <v>77</v>
      </c>
      <c r="F89" s="243" t="e">
        <f>F88</f>
        <v>#N/A</v>
      </c>
      <c r="G89" s="243" t="e">
        <f t="shared" ref="G89:L89" si="39">F89+G88</f>
        <v>#N/A</v>
      </c>
      <c r="H89" s="243" t="e">
        <f t="shared" si="39"/>
        <v>#N/A</v>
      </c>
      <c r="I89" s="243" t="e">
        <f t="shared" si="39"/>
        <v>#N/A</v>
      </c>
      <c r="J89" s="243" t="e">
        <f t="shared" si="39"/>
        <v>#N/A</v>
      </c>
      <c r="K89" s="243" t="e">
        <f t="shared" si="39"/>
        <v>#N/A</v>
      </c>
      <c r="L89" s="240" t="e">
        <f t="shared" si="39"/>
        <v>#N/A</v>
      </c>
      <c r="M89" s="152"/>
      <c r="N89" s="244"/>
      <c r="O89" s="152"/>
      <c r="P89" s="243">
        <f>B86</f>
        <v>1362</v>
      </c>
      <c r="Q89" s="131" t="e">
        <f>$A86</f>
        <v>#N/A</v>
      </c>
      <c r="R89" s="131">
        <v>4</v>
      </c>
      <c r="S89" s="131" t="e">
        <f>$A86</f>
        <v>#N/A</v>
      </c>
      <c r="T89" s="152" t="e">
        <f t="shared" ref="T89" si="40">F89</f>
        <v>#N/A</v>
      </c>
      <c r="U89" s="152" t="e">
        <f t="shared" ref="U89" si="41">G89</f>
        <v>#N/A</v>
      </c>
      <c r="V89" s="152" t="e">
        <f t="shared" ref="V89" si="42">H89</f>
        <v>#N/A</v>
      </c>
      <c r="W89" s="152" t="e">
        <f t="shared" ref="W89" si="43">I89</f>
        <v>#N/A</v>
      </c>
      <c r="X89" s="152" t="e">
        <f t="shared" ref="X89" si="44">J89</f>
        <v>#N/A</v>
      </c>
      <c r="Y89" s="152" t="e">
        <f t="shared" ref="Y89" si="45">K89</f>
        <v>#N/A</v>
      </c>
      <c r="Z89" s="152" t="e">
        <f t="shared" ref="Z89" si="46">L89</f>
        <v>#N/A</v>
      </c>
      <c r="AB89" s="86"/>
      <c r="AC89" s="131"/>
      <c r="AD89" s="131"/>
    </row>
    <row r="90" spans="1:30" s="123" customFormat="1" ht="13.2" customHeight="1" thickBot="1" x14ac:dyDescent="0.4">
      <c r="A90" s="245"/>
      <c r="B90" s="245"/>
      <c r="C90" s="246" t="e">
        <f>VLOOKUP(B86,Уч!$A$2:$L$16,12,FALSE)</f>
        <v>#N/A</v>
      </c>
      <c r="D90" s="247"/>
      <c r="E90" s="248" t="s">
        <v>37</v>
      </c>
      <c r="F90" s="249" t="e">
        <f>RANK(F89,$T$19:$T$85,0)</f>
        <v>#N/A</v>
      </c>
      <c r="G90" s="249" t="e">
        <f>RANK(G89,$U$19:$U$85,0)</f>
        <v>#N/A</v>
      </c>
      <c r="H90" s="249" t="e">
        <f>RANK(H89,$V$19:$V$85,0)</f>
        <v>#N/A</v>
      </c>
      <c r="I90" s="249" t="e">
        <f>RANK(I89,$W$19:$W$85,0)</f>
        <v>#N/A</v>
      </c>
      <c r="J90" s="249" t="e">
        <f>RANK(J89,$X$19:$X$85,0)</f>
        <v>#N/A</v>
      </c>
      <c r="K90" s="249" t="e">
        <f>RANK(K89,$Y$19:$Y$85,0)</f>
        <v>#N/A</v>
      </c>
      <c r="L90" s="250" t="e">
        <f>RANK(L89,$Z$19:$Z$85,0)</f>
        <v>#N/A</v>
      </c>
      <c r="M90" s="251"/>
      <c r="N90" s="252"/>
      <c r="O90" s="251"/>
      <c r="P90" s="243">
        <f>B86</f>
        <v>1362</v>
      </c>
      <c r="Q90" s="131" t="e">
        <f>$A86</f>
        <v>#N/A</v>
      </c>
      <c r="R90" s="131">
        <v>5</v>
      </c>
      <c r="S90" s="131" t="e">
        <f>$A86</f>
        <v>#N/A</v>
      </c>
      <c r="T90" s="236"/>
      <c r="U90" s="236"/>
      <c r="V90" s="236"/>
      <c r="W90" s="236"/>
      <c r="X90" s="236"/>
      <c r="Y90" s="236"/>
      <c r="Z90" s="236"/>
      <c r="AB90" s="86"/>
      <c r="AC90" s="131"/>
      <c r="AD90" s="131"/>
    </row>
    <row r="91" spans="1:30" s="123" customFormat="1" ht="13.2" customHeight="1" thickTop="1" x14ac:dyDescent="0.35">
      <c r="A91" s="86" t="e">
        <f>RANK(M91,$M$16:$M$85,0)</f>
        <v>#N/A</v>
      </c>
      <c r="B91" s="86">
        <v>1363</v>
      </c>
      <c r="C91" s="123" t="e">
        <f>VLOOKUP(B91,Уч!$A$2:$L$16,2,FALSE)</f>
        <v>#N/A</v>
      </c>
      <c r="D91" s="231" t="e">
        <f>VLOOKUP(B91,Уч!$A$2:$L$16,3,FALSE)</f>
        <v>#N/A</v>
      </c>
      <c r="E91" s="232" t="s">
        <v>28</v>
      </c>
      <c r="F91" s="233" t="e">
        <f>VLOOKUP($B91,'110 сб '!$C$17:$I$87,5,FALSE)</f>
        <v>#N/A</v>
      </c>
      <c r="G91" s="233" t="e">
        <f>VLOOKUP($B91,высота!$C$17:$AF$42,29,FALSE)</f>
        <v>#N/A</v>
      </c>
      <c r="H91" s="233" t="e">
        <f>VLOOKUP($B91,ядро!$C$17:$K$43,8,FALSE)</f>
        <v>#N/A</v>
      </c>
      <c r="I91" s="233" t="e">
        <f>VLOOKUP($B91,'2_р'!$C$17:$I$68,5,FALSE)</f>
        <v>#N/A</v>
      </c>
      <c r="J91" s="233" t="e">
        <f>VLOOKUP($B91,Дл_р!$C$17:$O$43,11,FALSE)</f>
        <v>#N/A</v>
      </c>
      <c r="K91" s="233" t="e">
        <f>VLOOKUP($B91,К_р!$C$18:$K$31,8,FALSE)</f>
        <v>#N/A</v>
      </c>
      <c r="L91" s="234" t="e">
        <f>VLOOKUP($B91,'8_р'!$C$17:$H$77,5,FALSE)</f>
        <v>#N/A</v>
      </c>
      <c r="M91" s="152" t="e">
        <f>SUM(F93:L93)</f>
        <v>#N/A</v>
      </c>
      <c r="N91" s="86" t="e">
        <f>LOOKUP(M91,R$1:AA$1,R$2:AA$2)</f>
        <v>#N/A</v>
      </c>
      <c r="O91" s="86" t="e">
        <f>AC91+AD91+5</f>
        <v>#N/A</v>
      </c>
      <c r="P91" s="86">
        <f>B91</f>
        <v>1363</v>
      </c>
      <c r="Q91" s="131" t="e">
        <f>$A91</f>
        <v>#N/A</v>
      </c>
      <c r="R91" s="131">
        <v>1</v>
      </c>
      <c r="S91" s="131" t="e">
        <f>$A91</f>
        <v>#N/A</v>
      </c>
      <c r="T91" s="236"/>
      <c r="U91" s="236"/>
      <c r="V91" s="236"/>
      <c r="W91" s="236"/>
      <c r="X91" s="236"/>
      <c r="Y91" s="236"/>
      <c r="Z91" s="236"/>
      <c r="AB91" s="86"/>
      <c r="AC91" s="131" t="e">
        <f>IF(AND(Q91&gt;16,M91&gt;=4600),"1",LOOKUP(Q91,Q$5:AH$5,Q$6:AH$6))</f>
        <v>#N/A</v>
      </c>
      <c r="AD91" s="131" t="e">
        <f>LOOKUP(N91,R$8:W$8,R$9:W$9)</f>
        <v>#N/A</v>
      </c>
    </row>
    <row r="92" spans="1:30" s="123" customFormat="1" ht="13.2" customHeight="1" x14ac:dyDescent="0.35">
      <c r="A92" s="86"/>
      <c r="B92" s="86"/>
      <c r="C92" s="123" t="e">
        <f>VLOOKUP(B91,Уч!$A$2:$L$16,5,FALSE)</f>
        <v>#N/A</v>
      </c>
      <c r="D92" s="231" t="e">
        <f>VLOOKUP(B91,Уч!$A$2:$L$16,4,FALSE)</f>
        <v>#N/A</v>
      </c>
      <c r="E92" s="237" t="s">
        <v>79</v>
      </c>
      <c r="F92" s="238" t="e">
        <f>VLOOKUP($B91,'110 сб '!$C$17:$I$87,6,FALSE)</f>
        <v>#N/A</v>
      </c>
      <c r="G92" s="239"/>
      <c r="H92" s="239"/>
      <c r="I92" s="238" t="e">
        <f>VLOOKUP($B91,'2_р'!$C$17:$I$68,6,FALSE)</f>
        <v>#N/A</v>
      </c>
      <c r="J92" s="238" t="e">
        <f>VLOOKUP($B91,Дл_р!$C$17:$O$43,12,FALSE)</f>
        <v>#N/A</v>
      </c>
      <c r="K92" s="239"/>
      <c r="L92" s="240"/>
      <c r="M92" s="152"/>
      <c r="N92" s="86"/>
      <c r="O92" s="86" t="e">
        <f>CONCATENATE(AC91,"+",AD91,"+",5)</f>
        <v>#N/A</v>
      </c>
      <c r="P92" s="86">
        <f>B91</f>
        <v>1363</v>
      </c>
      <c r="Q92" s="131" t="e">
        <f>$A91</f>
        <v>#N/A</v>
      </c>
      <c r="R92" s="131">
        <v>2</v>
      </c>
      <c r="S92" s="131" t="e">
        <f>$A91</f>
        <v>#N/A</v>
      </c>
      <c r="T92" s="236"/>
      <c r="U92" s="236"/>
      <c r="V92" s="236"/>
      <c r="W92" s="236"/>
      <c r="X92" s="236"/>
      <c r="Y92" s="236"/>
      <c r="Z92" s="236"/>
      <c r="AB92" s="86"/>
      <c r="AC92" s="131"/>
      <c r="AD92" s="131"/>
    </row>
    <row r="93" spans="1:30" s="123" customFormat="1" ht="13.2" customHeight="1" x14ac:dyDescent="0.35">
      <c r="A93" s="86"/>
      <c r="B93" s="86"/>
      <c r="C93" s="241" t="e">
        <f>VLOOKUP(B91,Уч!$A$2:$L$16,7,FALSE)</f>
        <v>#N/A</v>
      </c>
      <c r="D93" s="242"/>
      <c r="E93" s="237" t="s">
        <v>70</v>
      </c>
      <c r="F93" s="243" t="e">
        <f>VLOOKUP($B91,'110 сб '!$C$17:$I$87,7,FALSE)</f>
        <v>#N/A</v>
      </c>
      <c r="G93" s="243" t="e">
        <f>VLOOKUP($B91,высота!$C$17:$AF$42,30,FALSE)</f>
        <v>#N/A</v>
      </c>
      <c r="H93" s="243" t="e">
        <f>VLOOKUP($B91,ядро!$C$17:$K$43,9,FALSE)</f>
        <v>#N/A</v>
      </c>
      <c r="I93" s="243" t="e">
        <f>VLOOKUP($B91,'2_р'!$C$17:$I$68,7,FALSE)</f>
        <v>#N/A</v>
      </c>
      <c r="J93" s="243" t="e">
        <f>VLOOKUP($B91,Дл_р!$C$17:$O$43,13,FALSE)</f>
        <v>#N/A</v>
      </c>
      <c r="K93" s="243" t="e">
        <f>VLOOKUP($B91,К_р!$C$18:$K$31,9,FALSE)</f>
        <v>#N/A</v>
      </c>
      <c r="L93" s="240" t="e">
        <f>VLOOKUP($B91,'8_р'!$C$17:$H$77,6,FALSE)</f>
        <v>#N/A</v>
      </c>
      <c r="M93" s="152"/>
      <c r="N93" s="244"/>
      <c r="O93" s="152"/>
      <c r="P93" s="243">
        <f>B91</f>
        <v>1363</v>
      </c>
      <c r="Q93" s="131" t="e">
        <f>$A91</f>
        <v>#N/A</v>
      </c>
      <c r="R93" s="131">
        <v>3</v>
      </c>
      <c r="S93" s="131" t="e">
        <f>$A91</f>
        <v>#N/A</v>
      </c>
      <c r="T93" s="236"/>
      <c r="U93" s="236"/>
      <c r="V93" s="236"/>
      <c r="W93" s="236"/>
      <c r="X93" s="236"/>
      <c r="Y93" s="236"/>
      <c r="Z93" s="236"/>
      <c r="AB93" s="86"/>
      <c r="AC93" s="131"/>
      <c r="AD93" s="131"/>
    </row>
    <row r="94" spans="1:30" s="123" customFormat="1" ht="13.2" customHeight="1" x14ac:dyDescent="0.35">
      <c r="A94" s="86"/>
      <c r="B94" s="86"/>
      <c r="C94" s="241" t="e">
        <f>VLOOKUP(B91,Уч!$A$2:$L$16,11,FALSE)</f>
        <v>#N/A</v>
      </c>
      <c r="D94" s="131"/>
      <c r="E94" s="237" t="s">
        <v>77</v>
      </c>
      <c r="F94" s="243" t="e">
        <f>F93</f>
        <v>#N/A</v>
      </c>
      <c r="G94" s="243" t="e">
        <f t="shared" ref="G94" si="47">F94+G93</f>
        <v>#N/A</v>
      </c>
      <c r="H94" s="243" t="e">
        <f t="shared" ref="H94" si="48">G94+H93</f>
        <v>#N/A</v>
      </c>
      <c r="I94" s="243" t="e">
        <f t="shared" ref="I94" si="49">H94+I93</f>
        <v>#N/A</v>
      </c>
      <c r="J94" s="243" t="e">
        <f t="shared" ref="J94" si="50">I94+J93</f>
        <v>#N/A</v>
      </c>
      <c r="K94" s="243" t="e">
        <f t="shared" ref="K94" si="51">J94+K93</f>
        <v>#N/A</v>
      </c>
      <c r="L94" s="240" t="e">
        <f t="shared" ref="L94" si="52">K94+L93</f>
        <v>#N/A</v>
      </c>
      <c r="M94" s="152"/>
      <c r="N94" s="244"/>
      <c r="O94" s="152"/>
      <c r="P94" s="243">
        <f>B91</f>
        <v>1363</v>
      </c>
      <c r="Q94" s="131" t="e">
        <f>$A91</f>
        <v>#N/A</v>
      </c>
      <c r="R94" s="131">
        <v>4</v>
      </c>
      <c r="S94" s="131" t="e">
        <f>$A91</f>
        <v>#N/A</v>
      </c>
      <c r="T94" s="152" t="e">
        <f t="shared" ref="T94" si="53">F94</f>
        <v>#N/A</v>
      </c>
      <c r="U94" s="152" t="e">
        <f t="shared" ref="U94" si="54">G94</f>
        <v>#N/A</v>
      </c>
      <c r="V94" s="152" t="e">
        <f t="shared" ref="V94" si="55">H94</f>
        <v>#N/A</v>
      </c>
      <c r="W94" s="152" t="e">
        <f t="shared" ref="W94" si="56">I94</f>
        <v>#N/A</v>
      </c>
      <c r="X94" s="152" t="e">
        <f t="shared" ref="X94" si="57">J94</f>
        <v>#N/A</v>
      </c>
      <c r="Y94" s="152" t="e">
        <f t="shared" ref="Y94" si="58">K94</f>
        <v>#N/A</v>
      </c>
      <c r="Z94" s="152" t="e">
        <f t="shared" ref="Z94" si="59">L94</f>
        <v>#N/A</v>
      </c>
      <c r="AB94" s="86"/>
      <c r="AC94" s="131"/>
      <c r="AD94" s="131"/>
    </row>
    <row r="95" spans="1:30" s="123" customFormat="1" ht="13.2" customHeight="1" thickBot="1" x14ac:dyDescent="0.4">
      <c r="A95" s="245"/>
      <c r="B95" s="245"/>
      <c r="C95" s="246" t="e">
        <f>VLOOKUP(B91,Уч!$A$2:$L$16,12,FALSE)</f>
        <v>#N/A</v>
      </c>
      <c r="D95" s="247"/>
      <c r="E95" s="248" t="s">
        <v>37</v>
      </c>
      <c r="F95" s="249" t="e">
        <f>RANK(F94,$T$19:$T$85,0)</f>
        <v>#N/A</v>
      </c>
      <c r="G95" s="249" t="e">
        <f>RANK(G94,$U$19:$U$85,0)</f>
        <v>#N/A</v>
      </c>
      <c r="H95" s="249" t="e">
        <f>RANK(H94,$V$19:$V$85,0)</f>
        <v>#N/A</v>
      </c>
      <c r="I95" s="249" t="e">
        <f>RANK(I94,$W$19:$W$85,0)</f>
        <v>#N/A</v>
      </c>
      <c r="J95" s="249" t="e">
        <f>RANK(J94,$X$19:$X$85,0)</f>
        <v>#N/A</v>
      </c>
      <c r="K95" s="249" t="e">
        <f>RANK(K94,$Y$19:$Y$85,0)</f>
        <v>#N/A</v>
      </c>
      <c r="L95" s="250" t="e">
        <f>RANK(L94,$Z$19:$Z$85,0)</f>
        <v>#N/A</v>
      </c>
      <c r="M95" s="251"/>
      <c r="N95" s="252"/>
      <c r="O95" s="251"/>
      <c r="P95" s="243">
        <f>B91</f>
        <v>1363</v>
      </c>
      <c r="Q95" s="131" t="e">
        <f>$A91</f>
        <v>#N/A</v>
      </c>
      <c r="R95" s="131">
        <v>5</v>
      </c>
      <c r="S95" s="131" t="e">
        <f>$A91</f>
        <v>#N/A</v>
      </c>
      <c r="T95" s="236"/>
      <c r="U95" s="236"/>
      <c r="V95" s="236"/>
      <c r="W95" s="236"/>
      <c r="X95" s="236"/>
      <c r="Y95" s="236"/>
      <c r="Z95" s="236"/>
      <c r="AB95" s="86"/>
      <c r="AC95" s="131"/>
      <c r="AD95" s="131"/>
    </row>
    <row r="96" spans="1:30" s="123" customFormat="1" ht="13.2" customHeight="1" thickTop="1" x14ac:dyDescent="0.35">
      <c r="A96" s="86" t="e">
        <f>RANK(M96,$M$16:$M$85,0)</f>
        <v>#N/A</v>
      </c>
      <c r="B96" s="86">
        <v>1372</v>
      </c>
      <c r="C96" s="123" t="e">
        <f>VLOOKUP(B96,Уч!$A$2:$L$16,2,FALSE)</f>
        <v>#N/A</v>
      </c>
      <c r="D96" s="231" t="e">
        <f>VLOOKUP(B96,Уч!$A$2:$L$16,3,FALSE)</f>
        <v>#N/A</v>
      </c>
      <c r="E96" s="232" t="s">
        <v>28</v>
      </c>
      <c r="F96" s="233" t="e">
        <f>VLOOKUP($B96,'110 сб '!$C$17:$I$87,5,FALSE)</f>
        <v>#N/A</v>
      </c>
      <c r="G96" s="233" t="e">
        <f>VLOOKUP($B96,высота!$C$17:$AF$42,29,FALSE)</f>
        <v>#N/A</v>
      </c>
      <c r="H96" s="233" t="e">
        <f>VLOOKUP($B96,ядро!$C$17:$K$43,8,FALSE)</f>
        <v>#N/A</v>
      </c>
      <c r="I96" s="233" t="e">
        <f>VLOOKUP($B96,'2_р'!$C$17:$I$68,5,FALSE)</f>
        <v>#N/A</v>
      </c>
      <c r="J96" s="233" t="e">
        <f>VLOOKUP($B96,Дл_р!$C$17:$O$43,11,FALSE)</f>
        <v>#N/A</v>
      </c>
      <c r="K96" s="233" t="e">
        <f>VLOOKUP($B96,К_р!$C$18:$K$31,8,FALSE)</f>
        <v>#N/A</v>
      </c>
      <c r="L96" s="234" t="e">
        <f>VLOOKUP($B96,'8_р'!$C$17:$H$77,5,FALSE)</f>
        <v>#N/A</v>
      </c>
      <c r="M96" s="152" t="e">
        <f>SUM(F98:L98)</f>
        <v>#N/A</v>
      </c>
      <c r="N96" s="86" t="e">
        <f>LOOKUP(M96,R$1:AA$1,R$2:AA$2)</f>
        <v>#N/A</v>
      </c>
      <c r="O96" s="86" t="e">
        <f>AC96+AD96+5</f>
        <v>#N/A</v>
      </c>
      <c r="P96" s="86">
        <f>B96</f>
        <v>1372</v>
      </c>
      <c r="Q96" s="131" t="e">
        <f>$A96</f>
        <v>#N/A</v>
      </c>
      <c r="R96" s="131">
        <v>1</v>
      </c>
      <c r="S96" s="131" t="e">
        <f>$A96</f>
        <v>#N/A</v>
      </c>
      <c r="T96" s="236"/>
      <c r="U96" s="236"/>
      <c r="V96" s="236"/>
      <c r="W96" s="236"/>
      <c r="X96" s="236"/>
      <c r="Y96" s="236"/>
      <c r="Z96" s="236"/>
      <c r="AB96" s="86"/>
      <c r="AC96" s="131" t="e">
        <f>IF(AND(Q96&gt;16,M96&gt;=4600),"1",LOOKUP(Q96,Q$5:AH$5,Q$6:AH$6))</f>
        <v>#N/A</v>
      </c>
      <c r="AD96" s="131" t="e">
        <f>LOOKUP(N96,R$8:W$8,R$9:W$9)</f>
        <v>#N/A</v>
      </c>
    </row>
    <row r="97" spans="1:30" s="123" customFormat="1" ht="13.2" customHeight="1" x14ac:dyDescent="0.35">
      <c r="A97" s="86"/>
      <c r="B97" s="86"/>
      <c r="C97" s="123" t="e">
        <f>VLOOKUP(B96,Уч!$A$2:$L$16,5,FALSE)</f>
        <v>#N/A</v>
      </c>
      <c r="D97" s="231" t="e">
        <f>VLOOKUP(B96,Уч!$A$2:$L$16,4,FALSE)</f>
        <v>#N/A</v>
      </c>
      <c r="E97" s="237" t="s">
        <v>79</v>
      </c>
      <c r="F97" s="238" t="e">
        <f>VLOOKUP($B96,'110 сб '!$C$17:$I$87,6,FALSE)</f>
        <v>#N/A</v>
      </c>
      <c r="G97" s="239"/>
      <c r="H97" s="239"/>
      <c r="I97" s="238" t="e">
        <f>VLOOKUP($B96,'2_р'!$C$17:$I$68,6,FALSE)</f>
        <v>#N/A</v>
      </c>
      <c r="J97" s="238" t="e">
        <f>VLOOKUP($B96,Дл_р!$C$17:$O$43,12,FALSE)</f>
        <v>#N/A</v>
      </c>
      <c r="K97" s="239"/>
      <c r="L97" s="240"/>
      <c r="M97" s="152"/>
      <c r="N97" s="86"/>
      <c r="O97" s="86" t="e">
        <f>CONCATENATE(AC96,"+",AD96,"+",5)</f>
        <v>#N/A</v>
      </c>
      <c r="P97" s="86">
        <f>B96</f>
        <v>1372</v>
      </c>
      <c r="Q97" s="131" t="e">
        <f>$A96</f>
        <v>#N/A</v>
      </c>
      <c r="R97" s="131">
        <v>2</v>
      </c>
      <c r="S97" s="131" t="e">
        <f>$A96</f>
        <v>#N/A</v>
      </c>
      <c r="T97" s="236"/>
      <c r="U97" s="236"/>
      <c r="V97" s="236"/>
      <c r="W97" s="236"/>
      <c r="X97" s="236"/>
      <c r="Y97" s="236"/>
      <c r="Z97" s="236"/>
      <c r="AB97" s="86"/>
      <c r="AC97" s="131"/>
      <c r="AD97" s="131"/>
    </row>
    <row r="98" spans="1:30" s="123" customFormat="1" ht="13.2" customHeight="1" x14ac:dyDescent="0.35">
      <c r="A98" s="86"/>
      <c r="B98" s="86"/>
      <c r="C98" s="241" t="e">
        <f>VLOOKUP(B96,Уч!$A$2:$L$16,7,FALSE)</f>
        <v>#N/A</v>
      </c>
      <c r="D98" s="242"/>
      <c r="E98" s="237" t="s">
        <v>70</v>
      </c>
      <c r="F98" s="243" t="e">
        <f>VLOOKUP($B96,'110 сб '!$C$17:$I$87,7,FALSE)</f>
        <v>#N/A</v>
      </c>
      <c r="G98" s="243" t="e">
        <f>VLOOKUP($B96,высота!$C$17:$AF$42,30,FALSE)</f>
        <v>#N/A</v>
      </c>
      <c r="H98" s="243" t="e">
        <f>VLOOKUP($B96,ядро!$C$17:$K$43,9,FALSE)</f>
        <v>#N/A</v>
      </c>
      <c r="I98" s="243" t="e">
        <f>VLOOKUP($B96,'2_р'!$C$17:$I$68,7,FALSE)</f>
        <v>#N/A</v>
      </c>
      <c r="J98" s="243" t="e">
        <f>VLOOKUP($B96,Дл_р!$C$17:$O$43,13,FALSE)</f>
        <v>#N/A</v>
      </c>
      <c r="K98" s="243" t="e">
        <f>VLOOKUP($B96,К_р!$C$18:$K$31,9,FALSE)</f>
        <v>#N/A</v>
      </c>
      <c r="L98" s="240" t="e">
        <f>VLOOKUP($B96,'8_р'!$C$17:$H$77,6,FALSE)</f>
        <v>#N/A</v>
      </c>
      <c r="M98" s="152"/>
      <c r="N98" s="244"/>
      <c r="O98" s="152"/>
      <c r="P98" s="243">
        <f>B96</f>
        <v>1372</v>
      </c>
      <c r="Q98" s="131" t="e">
        <f>$A96</f>
        <v>#N/A</v>
      </c>
      <c r="R98" s="131">
        <v>3</v>
      </c>
      <c r="S98" s="131" t="e">
        <f>$A96</f>
        <v>#N/A</v>
      </c>
      <c r="T98" s="236"/>
      <c r="U98" s="236"/>
      <c r="V98" s="236"/>
      <c r="W98" s="236"/>
      <c r="X98" s="236"/>
      <c r="Y98" s="236"/>
      <c r="Z98" s="236"/>
      <c r="AB98" s="86"/>
      <c r="AC98" s="131"/>
      <c r="AD98" s="131"/>
    </row>
    <row r="99" spans="1:30" s="123" customFormat="1" ht="13.2" customHeight="1" x14ac:dyDescent="0.35">
      <c r="A99" s="86"/>
      <c r="B99" s="86"/>
      <c r="C99" s="241" t="e">
        <f>VLOOKUP(B96,Уч!$A$2:$L$16,11,FALSE)</f>
        <v>#N/A</v>
      </c>
      <c r="D99" s="131"/>
      <c r="E99" s="237" t="s">
        <v>77</v>
      </c>
      <c r="F99" s="243" t="e">
        <f>F98</f>
        <v>#N/A</v>
      </c>
      <c r="G99" s="243" t="e">
        <f t="shared" ref="G99" si="60">F99+G98</f>
        <v>#N/A</v>
      </c>
      <c r="H99" s="243" t="e">
        <f t="shared" ref="H99" si="61">G99+H98</f>
        <v>#N/A</v>
      </c>
      <c r="I99" s="243" t="e">
        <f t="shared" ref="I99" si="62">H99+I98</f>
        <v>#N/A</v>
      </c>
      <c r="J99" s="243" t="e">
        <f t="shared" ref="J99" si="63">I99+J98</f>
        <v>#N/A</v>
      </c>
      <c r="K99" s="243" t="e">
        <f t="shared" ref="K99" si="64">J99+K98</f>
        <v>#N/A</v>
      </c>
      <c r="L99" s="240" t="e">
        <f t="shared" ref="L99" si="65">K99+L98</f>
        <v>#N/A</v>
      </c>
      <c r="M99" s="152"/>
      <c r="N99" s="244"/>
      <c r="O99" s="152"/>
      <c r="P99" s="243">
        <f>B96</f>
        <v>1372</v>
      </c>
      <c r="Q99" s="131" t="e">
        <f>$A96</f>
        <v>#N/A</v>
      </c>
      <c r="R99" s="131">
        <v>4</v>
      </c>
      <c r="S99" s="131" t="e">
        <f>$A96</f>
        <v>#N/A</v>
      </c>
      <c r="T99" s="152" t="e">
        <f t="shared" ref="T99" si="66">F99</f>
        <v>#N/A</v>
      </c>
      <c r="U99" s="152" t="e">
        <f t="shared" ref="U99" si="67">G99</f>
        <v>#N/A</v>
      </c>
      <c r="V99" s="152" t="e">
        <f t="shared" ref="V99" si="68">H99</f>
        <v>#N/A</v>
      </c>
      <c r="W99" s="152" t="e">
        <f t="shared" ref="W99" si="69">I99</f>
        <v>#N/A</v>
      </c>
      <c r="X99" s="152" t="e">
        <f t="shared" ref="X99" si="70">J99</f>
        <v>#N/A</v>
      </c>
      <c r="Y99" s="152" t="e">
        <f t="shared" ref="Y99" si="71">K99</f>
        <v>#N/A</v>
      </c>
      <c r="Z99" s="152" t="e">
        <f t="shared" ref="Z99" si="72">L99</f>
        <v>#N/A</v>
      </c>
      <c r="AB99" s="86"/>
      <c r="AC99" s="131"/>
      <c r="AD99" s="131"/>
    </row>
    <row r="100" spans="1:30" s="123" customFormat="1" ht="13.2" customHeight="1" thickBot="1" x14ac:dyDescent="0.4">
      <c r="A100" s="245"/>
      <c r="B100" s="245"/>
      <c r="C100" s="246" t="e">
        <f>VLOOKUP(B96,Уч!$A$2:$L$16,12,FALSE)</f>
        <v>#N/A</v>
      </c>
      <c r="D100" s="247"/>
      <c r="E100" s="248" t="s">
        <v>37</v>
      </c>
      <c r="F100" s="249" t="e">
        <f>RANK(F99,$T$19:$T$85,0)</f>
        <v>#N/A</v>
      </c>
      <c r="G100" s="249" t="e">
        <f>RANK(G99,$U$19:$U$85,0)</f>
        <v>#N/A</v>
      </c>
      <c r="H100" s="249" t="e">
        <f>RANK(H99,$V$19:$V$85,0)</f>
        <v>#N/A</v>
      </c>
      <c r="I100" s="249" t="e">
        <f>RANK(I99,$W$19:$W$85,0)</f>
        <v>#N/A</v>
      </c>
      <c r="J100" s="249" t="e">
        <f>RANK(J99,$X$19:$X$85,0)</f>
        <v>#N/A</v>
      </c>
      <c r="K100" s="249" t="e">
        <f>RANK(K99,$Y$19:$Y$85,0)</f>
        <v>#N/A</v>
      </c>
      <c r="L100" s="250" t="e">
        <f>RANK(L99,$Z$19:$Z$85,0)</f>
        <v>#N/A</v>
      </c>
      <c r="M100" s="251"/>
      <c r="N100" s="252"/>
      <c r="O100" s="251"/>
      <c r="P100" s="243">
        <f>B96</f>
        <v>1372</v>
      </c>
      <c r="Q100" s="131" t="e">
        <f>$A96</f>
        <v>#N/A</v>
      </c>
      <c r="R100" s="131">
        <v>5</v>
      </c>
      <c r="S100" s="131" t="e">
        <f>$A96</f>
        <v>#N/A</v>
      </c>
      <c r="T100" s="236"/>
      <c r="U100" s="236"/>
      <c r="V100" s="236"/>
      <c r="W100" s="236"/>
      <c r="X100" s="236"/>
      <c r="Y100" s="236"/>
      <c r="Z100" s="236"/>
      <c r="AB100" s="86"/>
      <c r="AC100" s="131"/>
      <c r="AD100" s="131"/>
    </row>
    <row r="101" spans="1:30" s="123" customFormat="1" ht="13.2" customHeight="1" thickTop="1" x14ac:dyDescent="0.35">
      <c r="A101" s="86" t="e">
        <f>RANK(M101,$M$16:$M$85,0)</f>
        <v>#N/A</v>
      </c>
      <c r="B101" s="86">
        <v>1375</v>
      </c>
      <c r="C101" s="123" t="e">
        <f>VLOOKUP(B101,Уч!$A$2:$L$16,2,FALSE)</f>
        <v>#N/A</v>
      </c>
      <c r="D101" s="231" t="e">
        <f>VLOOKUP(B101,Уч!$A$2:$L$16,3,FALSE)</f>
        <v>#N/A</v>
      </c>
      <c r="E101" s="232" t="s">
        <v>28</v>
      </c>
      <c r="F101" s="233" t="e">
        <f>VLOOKUP($B101,'110 сб '!$C$17:$I$87,5,FALSE)</f>
        <v>#N/A</v>
      </c>
      <c r="G101" s="233" t="e">
        <f>VLOOKUP($B101,высота!$C$17:$AF$42,29,FALSE)</f>
        <v>#N/A</v>
      </c>
      <c r="H101" s="233" t="e">
        <f>VLOOKUP($B101,ядро!$C$17:$K$43,8,FALSE)</f>
        <v>#N/A</v>
      </c>
      <c r="I101" s="233" t="e">
        <f>VLOOKUP($B101,'2_р'!$C$17:$I$68,5,FALSE)</f>
        <v>#N/A</v>
      </c>
      <c r="J101" s="233" t="e">
        <f>VLOOKUP($B101,Дл_р!$C$17:$O$43,11,FALSE)</f>
        <v>#N/A</v>
      </c>
      <c r="K101" s="233" t="e">
        <f>VLOOKUP($B101,К_р!$C$18:$K$31,8,FALSE)</f>
        <v>#N/A</v>
      </c>
      <c r="L101" s="234">
        <f>VLOOKUP($B101,'8_р'!$C$17:$H$77,5,FALSE)</f>
        <v>0</v>
      </c>
      <c r="M101" s="152" t="e">
        <f>SUM(F103:L103)</f>
        <v>#N/A</v>
      </c>
      <c r="N101" s="86" t="e">
        <f>LOOKUP(M101,R$1:AA$1,R$2:AA$2)</f>
        <v>#N/A</v>
      </c>
      <c r="O101" s="86" t="e">
        <f>AC101+AD101+5</f>
        <v>#N/A</v>
      </c>
      <c r="P101" s="86">
        <f>B101</f>
        <v>1375</v>
      </c>
      <c r="Q101" s="131" t="e">
        <f>$A101</f>
        <v>#N/A</v>
      </c>
      <c r="R101" s="131">
        <v>1</v>
      </c>
      <c r="S101" s="131" t="e">
        <f>$A101</f>
        <v>#N/A</v>
      </c>
      <c r="T101" s="236"/>
      <c r="U101" s="236"/>
      <c r="V101" s="236"/>
      <c r="W101" s="236"/>
      <c r="X101" s="236"/>
      <c r="Y101" s="236"/>
      <c r="Z101" s="236"/>
      <c r="AB101" s="86"/>
      <c r="AC101" s="131" t="e">
        <f>IF(AND(Q101&gt;16,M101&gt;=4600),"1",LOOKUP(Q101,Q$5:AH$5,Q$6:AH$6))</f>
        <v>#N/A</v>
      </c>
      <c r="AD101" s="131" t="e">
        <f>LOOKUP(N101,R$8:W$8,R$9:W$9)</f>
        <v>#N/A</v>
      </c>
    </row>
    <row r="102" spans="1:30" s="123" customFormat="1" ht="13.2" customHeight="1" x14ac:dyDescent="0.35">
      <c r="A102" s="86"/>
      <c r="B102" s="86"/>
      <c r="C102" s="123" t="e">
        <f>VLOOKUP(B101,Уч!$A$2:$L$16,5,FALSE)</f>
        <v>#N/A</v>
      </c>
      <c r="D102" s="231" t="e">
        <f>VLOOKUP(B101,Уч!$A$2:$L$16,4,FALSE)</f>
        <v>#N/A</v>
      </c>
      <c r="E102" s="237" t="s">
        <v>79</v>
      </c>
      <c r="F102" s="238" t="e">
        <f>VLOOKUP($B101,'110 сб '!$C$17:$I$87,6,FALSE)</f>
        <v>#N/A</v>
      </c>
      <c r="G102" s="239"/>
      <c r="H102" s="239"/>
      <c r="I102" s="238" t="e">
        <f>VLOOKUP($B101,'2_р'!$C$17:$I$68,6,FALSE)</f>
        <v>#N/A</v>
      </c>
      <c r="J102" s="238" t="e">
        <f>VLOOKUP($B101,Дл_р!$C$17:$O$43,12,FALSE)</f>
        <v>#N/A</v>
      </c>
      <c r="K102" s="239"/>
      <c r="L102" s="240"/>
      <c r="M102" s="152"/>
      <c r="N102" s="86"/>
      <c r="O102" s="86" t="e">
        <f>CONCATENATE(AC101,"+",AD101,"+",5)</f>
        <v>#N/A</v>
      </c>
      <c r="P102" s="86">
        <f>B101</f>
        <v>1375</v>
      </c>
      <c r="Q102" s="131" t="e">
        <f>$A101</f>
        <v>#N/A</v>
      </c>
      <c r="R102" s="131">
        <v>2</v>
      </c>
      <c r="S102" s="131" t="e">
        <f>$A101</f>
        <v>#N/A</v>
      </c>
      <c r="T102" s="236"/>
      <c r="U102" s="236"/>
      <c r="V102" s="236"/>
      <c r="W102" s="236"/>
      <c r="X102" s="236"/>
      <c r="Y102" s="236"/>
      <c r="Z102" s="236"/>
      <c r="AB102" s="86"/>
      <c r="AC102" s="131"/>
      <c r="AD102" s="131"/>
    </row>
    <row r="103" spans="1:30" s="123" customFormat="1" ht="13.2" customHeight="1" x14ac:dyDescent="0.35">
      <c r="A103" s="86"/>
      <c r="B103" s="86"/>
      <c r="C103" s="241" t="e">
        <f>VLOOKUP(B101,Уч!$A$2:$L$16,7,FALSE)</f>
        <v>#N/A</v>
      </c>
      <c r="D103" s="242"/>
      <c r="E103" s="237" t="s">
        <v>70</v>
      </c>
      <c r="F103" s="243" t="e">
        <f>VLOOKUP($B101,'110 сб '!$C$17:$I$87,7,FALSE)</f>
        <v>#N/A</v>
      </c>
      <c r="G103" s="243" t="e">
        <f>VLOOKUP($B101,высота!$C$17:$AF$42,30,FALSE)</f>
        <v>#N/A</v>
      </c>
      <c r="H103" s="243" t="e">
        <f>VLOOKUP($B101,ядро!$C$17:$K$43,9,FALSE)</f>
        <v>#N/A</v>
      </c>
      <c r="I103" s="243" t="e">
        <f>VLOOKUP($B101,'2_р'!$C$17:$I$68,7,FALSE)</f>
        <v>#N/A</v>
      </c>
      <c r="J103" s="243" t="e">
        <f>VLOOKUP($B101,Дл_р!$C$17:$O$43,13,FALSE)</f>
        <v>#N/A</v>
      </c>
      <c r="K103" s="243" t="e">
        <f>VLOOKUP($B101,К_р!$C$18:$K$31,9,FALSE)</f>
        <v>#N/A</v>
      </c>
      <c r="L103" s="240">
        <f>VLOOKUP($B101,'8_р'!$C$17:$H$77,6,FALSE)</f>
        <v>0</v>
      </c>
      <c r="M103" s="152"/>
      <c r="N103" s="244"/>
      <c r="O103" s="152"/>
      <c r="P103" s="243">
        <f>B101</f>
        <v>1375</v>
      </c>
      <c r="Q103" s="131" t="e">
        <f>$A101</f>
        <v>#N/A</v>
      </c>
      <c r="R103" s="131">
        <v>3</v>
      </c>
      <c r="S103" s="131" t="e">
        <f>$A101</f>
        <v>#N/A</v>
      </c>
      <c r="T103" s="236"/>
      <c r="U103" s="236"/>
      <c r="V103" s="236"/>
      <c r="W103" s="236"/>
      <c r="X103" s="236"/>
      <c r="Y103" s="236"/>
      <c r="Z103" s="236"/>
      <c r="AB103" s="86"/>
      <c r="AC103" s="131"/>
      <c r="AD103" s="131"/>
    </row>
    <row r="104" spans="1:30" s="123" customFormat="1" ht="13.2" customHeight="1" x14ac:dyDescent="0.35">
      <c r="A104" s="86"/>
      <c r="B104" s="86"/>
      <c r="C104" s="241" t="e">
        <f>VLOOKUP(B101,Уч!$A$2:$L$16,11,FALSE)</f>
        <v>#N/A</v>
      </c>
      <c r="D104" s="131"/>
      <c r="E104" s="237" t="s">
        <v>77</v>
      </c>
      <c r="F104" s="243" t="e">
        <f>F103</f>
        <v>#N/A</v>
      </c>
      <c r="G104" s="243" t="e">
        <f t="shared" ref="G104" si="73">F104+G103</f>
        <v>#N/A</v>
      </c>
      <c r="H104" s="243" t="e">
        <f t="shared" ref="H104" si="74">G104+H103</f>
        <v>#N/A</v>
      </c>
      <c r="I104" s="243" t="e">
        <f t="shared" ref="I104" si="75">H104+I103</f>
        <v>#N/A</v>
      </c>
      <c r="J104" s="243" t="e">
        <f t="shared" ref="J104" si="76">I104+J103</f>
        <v>#N/A</v>
      </c>
      <c r="K104" s="243" t="e">
        <f t="shared" ref="K104" si="77">J104+K103</f>
        <v>#N/A</v>
      </c>
      <c r="L104" s="240" t="e">
        <f t="shared" ref="L104" si="78">K104+L103</f>
        <v>#N/A</v>
      </c>
      <c r="M104" s="152"/>
      <c r="N104" s="244"/>
      <c r="O104" s="152"/>
      <c r="P104" s="243">
        <f>B101</f>
        <v>1375</v>
      </c>
      <c r="Q104" s="131" t="e">
        <f>$A101</f>
        <v>#N/A</v>
      </c>
      <c r="R104" s="131">
        <v>4</v>
      </c>
      <c r="S104" s="131" t="e">
        <f>$A101</f>
        <v>#N/A</v>
      </c>
      <c r="T104" s="152" t="e">
        <f t="shared" ref="T104" si="79">F104</f>
        <v>#N/A</v>
      </c>
      <c r="U104" s="152" t="e">
        <f t="shared" ref="U104" si="80">G104</f>
        <v>#N/A</v>
      </c>
      <c r="V104" s="152" t="e">
        <f t="shared" ref="V104" si="81">H104</f>
        <v>#N/A</v>
      </c>
      <c r="W104" s="152" t="e">
        <f t="shared" ref="W104" si="82">I104</f>
        <v>#N/A</v>
      </c>
      <c r="X104" s="152" t="e">
        <f t="shared" ref="X104" si="83">J104</f>
        <v>#N/A</v>
      </c>
      <c r="Y104" s="152" t="e">
        <f t="shared" ref="Y104" si="84">K104</f>
        <v>#N/A</v>
      </c>
      <c r="Z104" s="152" t="e">
        <f t="shared" ref="Z104" si="85">L104</f>
        <v>#N/A</v>
      </c>
      <c r="AB104" s="86"/>
      <c r="AC104" s="131"/>
      <c r="AD104" s="131"/>
    </row>
    <row r="105" spans="1:30" s="123" customFormat="1" ht="13.2" customHeight="1" thickBot="1" x14ac:dyDescent="0.4">
      <c r="A105" s="245"/>
      <c r="B105" s="245"/>
      <c r="C105" s="246" t="e">
        <f>VLOOKUP(B101,Уч!$A$2:$L$16,12,FALSE)</f>
        <v>#N/A</v>
      </c>
      <c r="D105" s="247"/>
      <c r="E105" s="248" t="s">
        <v>37</v>
      </c>
      <c r="F105" s="249" t="e">
        <f>RANK(F104,$T$19:$T$85,0)</f>
        <v>#N/A</v>
      </c>
      <c r="G105" s="249" t="e">
        <f>RANK(G104,$U$19:$U$85,0)</f>
        <v>#N/A</v>
      </c>
      <c r="H105" s="249" t="e">
        <f>RANK(H104,$V$19:$V$85,0)</f>
        <v>#N/A</v>
      </c>
      <c r="I105" s="249" t="e">
        <f>RANK(I104,$W$19:$W$85,0)</f>
        <v>#N/A</v>
      </c>
      <c r="J105" s="249" t="e">
        <f>RANK(J104,$X$19:$X$85,0)</f>
        <v>#N/A</v>
      </c>
      <c r="K105" s="249" t="e">
        <f>RANK(K104,$Y$19:$Y$85,0)</f>
        <v>#N/A</v>
      </c>
      <c r="L105" s="250" t="e">
        <f>RANK(L104,$Z$19:$Z$85,0)</f>
        <v>#N/A</v>
      </c>
      <c r="M105" s="251"/>
      <c r="N105" s="252"/>
      <c r="O105" s="251"/>
      <c r="P105" s="243">
        <f>B101</f>
        <v>1375</v>
      </c>
      <c r="Q105" s="131" t="e">
        <f>$A101</f>
        <v>#N/A</v>
      </c>
      <c r="R105" s="131">
        <v>5</v>
      </c>
      <c r="S105" s="131" t="e">
        <f>$A101</f>
        <v>#N/A</v>
      </c>
      <c r="T105" s="236"/>
      <c r="U105" s="236"/>
      <c r="V105" s="236"/>
      <c r="W105" s="236"/>
      <c r="X105" s="236"/>
      <c r="Y105" s="236"/>
      <c r="Z105" s="236"/>
      <c r="AB105" s="86"/>
      <c r="AC105" s="131"/>
      <c r="AD105" s="131"/>
    </row>
    <row r="106" spans="1:30" s="123" customFormat="1" ht="13.2" customHeight="1" thickTop="1" x14ac:dyDescent="0.35">
      <c r="A106" s="86" t="e">
        <f>RANK(M106,$M$16:$M$85,0)</f>
        <v>#N/A</v>
      </c>
      <c r="B106" s="86">
        <v>1379</v>
      </c>
      <c r="C106" s="123" t="e">
        <f>VLOOKUP(B106,Уч!$A$2:$L$16,2,FALSE)</f>
        <v>#N/A</v>
      </c>
      <c r="D106" s="231" t="e">
        <f>VLOOKUP(B106,Уч!$A$2:$L$16,3,FALSE)</f>
        <v>#N/A</v>
      </c>
      <c r="E106" s="232" t="s">
        <v>28</v>
      </c>
      <c r="F106" s="233" t="e">
        <f>VLOOKUP($B106,'110 сб '!$C$17:$I$87,5,FALSE)</f>
        <v>#N/A</v>
      </c>
      <c r="G106" s="233" t="e">
        <f>VLOOKUP($B106,высота!$C$17:$AF$42,29,FALSE)</f>
        <v>#N/A</v>
      </c>
      <c r="H106" s="233" t="e">
        <f>VLOOKUP($B106,ядро!$C$17:$K$43,8,FALSE)</f>
        <v>#N/A</v>
      </c>
      <c r="I106" s="233" t="e">
        <f>VLOOKUP($B106,'2_р'!$C$17:$I$68,5,FALSE)</f>
        <v>#N/A</v>
      </c>
      <c r="J106" s="233" t="e">
        <f>VLOOKUP($B106,Дл_р!$C$17:$O$43,11,FALSE)</f>
        <v>#N/A</v>
      </c>
      <c r="K106" s="233" t="e">
        <f>VLOOKUP($B106,К_р!$C$18:$K$31,8,FALSE)</f>
        <v>#N/A</v>
      </c>
      <c r="L106" s="234" t="e">
        <f>VLOOKUP($B106,'8_р'!$C$17:$H$77,5,FALSE)</f>
        <v>#N/A</v>
      </c>
      <c r="M106" s="152" t="e">
        <f>SUM(F108:L108)</f>
        <v>#N/A</v>
      </c>
      <c r="N106" s="86" t="e">
        <f>LOOKUP(M106,R$1:AA$1,R$2:AA$2)</f>
        <v>#N/A</v>
      </c>
      <c r="O106" s="86" t="e">
        <f>AC106+AD106+5</f>
        <v>#N/A</v>
      </c>
      <c r="P106" s="86">
        <f>B106</f>
        <v>1379</v>
      </c>
      <c r="Q106" s="131" t="e">
        <f>$A106</f>
        <v>#N/A</v>
      </c>
      <c r="R106" s="131">
        <v>1</v>
      </c>
      <c r="S106" s="131" t="e">
        <f>$A106</f>
        <v>#N/A</v>
      </c>
      <c r="T106" s="236"/>
      <c r="U106" s="236"/>
      <c r="V106" s="236"/>
      <c r="W106" s="236"/>
      <c r="X106" s="236"/>
      <c r="Y106" s="236"/>
      <c r="Z106" s="236"/>
      <c r="AB106" s="86"/>
      <c r="AC106" s="131" t="e">
        <f>IF(AND(Q106&gt;16,M106&gt;=4600),"1",LOOKUP(Q106,Q$5:AH$5,Q$6:AH$6))</f>
        <v>#N/A</v>
      </c>
      <c r="AD106" s="131" t="e">
        <f>LOOKUP(N106,R$8:W$8,R$9:W$9)</f>
        <v>#N/A</v>
      </c>
    </row>
    <row r="107" spans="1:30" s="123" customFormat="1" ht="13.2" customHeight="1" x14ac:dyDescent="0.35">
      <c r="A107" s="86"/>
      <c r="B107" s="86"/>
      <c r="C107" s="123" t="e">
        <f>VLOOKUP(B106,Уч!$A$2:$L$16,5,FALSE)</f>
        <v>#N/A</v>
      </c>
      <c r="D107" s="231" t="e">
        <f>VLOOKUP(B106,Уч!$A$2:$L$16,4,FALSE)</f>
        <v>#N/A</v>
      </c>
      <c r="E107" s="237" t="s">
        <v>79</v>
      </c>
      <c r="F107" s="238" t="e">
        <f>VLOOKUP($B106,'110 сб '!$C$17:$I$87,6,FALSE)</f>
        <v>#N/A</v>
      </c>
      <c r="G107" s="239"/>
      <c r="H107" s="239"/>
      <c r="I107" s="238" t="e">
        <f>VLOOKUP($B106,'2_р'!$C$17:$I$68,6,FALSE)</f>
        <v>#N/A</v>
      </c>
      <c r="J107" s="238" t="e">
        <f>VLOOKUP($B106,Дл_р!$C$17:$O$43,12,FALSE)</f>
        <v>#N/A</v>
      </c>
      <c r="K107" s="239"/>
      <c r="L107" s="240"/>
      <c r="M107" s="152"/>
      <c r="N107" s="86"/>
      <c r="O107" s="86" t="e">
        <f>CONCATENATE(AC106,"+",AD106,"+",5)</f>
        <v>#N/A</v>
      </c>
      <c r="P107" s="86">
        <f>B106</f>
        <v>1379</v>
      </c>
      <c r="Q107" s="131" t="e">
        <f>$A106</f>
        <v>#N/A</v>
      </c>
      <c r="R107" s="131">
        <v>2</v>
      </c>
      <c r="S107" s="131" t="e">
        <f>$A106</f>
        <v>#N/A</v>
      </c>
      <c r="T107" s="236"/>
      <c r="U107" s="236"/>
      <c r="V107" s="236"/>
      <c r="W107" s="236"/>
      <c r="X107" s="236"/>
      <c r="Y107" s="236"/>
      <c r="Z107" s="236"/>
      <c r="AB107" s="86"/>
      <c r="AC107" s="131"/>
      <c r="AD107" s="131"/>
    </row>
    <row r="108" spans="1:30" s="123" customFormat="1" ht="13.2" customHeight="1" x14ac:dyDescent="0.35">
      <c r="A108" s="86"/>
      <c r="B108" s="86"/>
      <c r="C108" s="241" t="e">
        <f>VLOOKUP(B106,Уч!$A$2:$L$16,7,FALSE)</f>
        <v>#N/A</v>
      </c>
      <c r="D108" s="242"/>
      <c r="E108" s="237" t="s">
        <v>70</v>
      </c>
      <c r="F108" s="243" t="e">
        <f>VLOOKUP($B106,'110 сб '!$C$17:$I$87,7,FALSE)</f>
        <v>#N/A</v>
      </c>
      <c r="G108" s="243" t="e">
        <f>VLOOKUP($B106,высота!$C$17:$AF$42,30,FALSE)</f>
        <v>#N/A</v>
      </c>
      <c r="H108" s="243" t="e">
        <f>VLOOKUP($B106,ядро!$C$17:$K$43,9,FALSE)</f>
        <v>#N/A</v>
      </c>
      <c r="I108" s="243" t="e">
        <f>VLOOKUP($B106,'2_р'!$C$17:$I$68,7,FALSE)</f>
        <v>#N/A</v>
      </c>
      <c r="J108" s="243" t="e">
        <f>VLOOKUP($B106,Дл_р!$C$17:$O$43,13,FALSE)</f>
        <v>#N/A</v>
      </c>
      <c r="K108" s="243" t="e">
        <f>VLOOKUP($B106,К_р!$C$18:$K$31,9,FALSE)</f>
        <v>#N/A</v>
      </c>
      <c r="L108" s="240" t="e">
        <f>VLOOKUP($B106,'8_р'!$C$17:$H$77,6,FALSE)</f>
        <v>#N/A</v>
      </c>
      <c r="M108" s="152"/>
      <c r="N108" s="244"/>
      <c r="O108" s="152"/>
      <c r="P108" s="243">
        <f>B106</f>
        <v>1379</v>
      </c>
      <c r="Q108" s="131" t="e">
        <f>$A106</f>
        <v>#N/A</v>
      </c>
      <c r="R108" s="131">
        <v>3</v>
      </c>
      <c r="S108" s="131" t="e">
        <f>$A106</f>
        <v>#N/A</v>
      </c>
      <c r="T108" s="236"/>
      <c r="U108" s="236"/>
      <c r="V108" s="236"/>
      <c r="W108" s="236"/>
      <c r="X108" s="236"/>
      <c r="Y108" s="236"/>
      <c r="Z108" s="236"/>
      <c r="AB108" s="86"/>
      <c r="AC108" s="131"/>
      <c r="AD108" s="131"/>
    </row>
    <row r="109" spans="1:30" s="123" customFormat="1" ht="13.2" customHeight="1" x14ac:dyDescent="0.35">
      <c r="A109" s="86"/>
      <c r="B109" s="86"/>
      <c r="C109" s="241" t="e">
        <f>VLOOKUP(B106,Уч!$A$2:$L$16,11,FALSE)</f>
        <v>#N/A</v>
      </c>
      <c r="D109" s="131"/>
      <c r="E109" s="237" t="s">
        <v>77</v>
      </c>
      <c r="F109" s="243" t="e">
        <f>F108</f>
        <v>#N/A</v>
      </c>
      <c r="G109" s="243" t="e">
        <f t="shared" ref="G109" si="86">F109+G108</f>
        <v>#N/A</v>
      </c>
      <c r="H109" s="243" t="e">
        <f t="shared" ref="H109" si="87">G109+H108</f>
        <v>#N/A</v>
      </c>
      <c r="I109" s="243" t="e">
        <f t="shared" ref="I109" si="88">H109+I108</f>
        <v>#N/A</v>
      </c>
      <c r="J109" s="243" t="e">
        <f t="shared" ref="J109" si="89">I109+J108</f>
        <v>#N/A</v>
      </c>
      <c r="K109" s="243" t="e">
        <f t="shared" ref="K109" si="90">J109+K108</f>
        <v>#N/A</v>
      </c>
      <c r="L109" s="240" t="e">
        <f t="shared" ref="L109" si="91">K109+L108</f>
        <v>#N/A</v>
      </c>
      <c r="M109" s="152"/>
      <c r="N109" s="244"/>
      <c r="O109" s="152"/>
      <c r="P109" s="243">
        <f>B106</f>
        <v>1379</v>
      </c>
      <c r="Q109" s="131" t="e">
        <f>$A106</f>
        <v>#N/A</v>
      </c>
      <c r="R109" s="131">
        <v>4</v>
      </c>
      <c r="S109" s="131" t="e">
        <f>$A106</f>
        <v>#N/A</v>
      </c>
      <c r="T109" s="152" t="e">
        <f t="shared" ref="T109" si="92">F109</f>
        <v>#N/A</v>
      </c>
      <c r="U109" s="152" t="e">
        <f t="shared" ref="U109" si="93">G109</f>
        <v>#N/A</v>
      </c>
      <c r="V109" s="152" t="e">
        <f t="shared" ref="V109" si="94">H109</f>
        <v>#N/A</v>
      </c>
      <c r="W109" s="152" t="e">
        <f t="shared" ref="W109" si="95">I109</f>
        <v>#N/A</v>
      </c>
      <c r="X109" s="152" t="e">
        <f t="shared" ref="X109" si="96">J109</f>
        <v>#N/A</v>
      </c>
      <c r="Y109" s="152" t="e">
        <f t="shared" ref="Y109" si="97">K109</f>
        <v>#N/A</v>
      </c>
      <c r="Z109" s="152" t="e">
        <f t="shared" ref="Z109" si="98">L109</f>
        <v>#N/A</v>
      </c>
      <c r="AB109" s="86"/>
      <c r="AC109" s="131"/>
      <c r="AD109" s="131"/>
    </row>
    <row r="110" spans="1:30" s="123" customFormat="1" ht="13.2" customHeight="1" thickBot="1" x14ac:dyDescent="0.4">
      <c r="A110" s="245"/>
      <c r="B110" s="245"/>
      <c r="C110" s="246" t="e">
        <f>VLOOKUP(B106,Уч!$A$2:$L$16,12,FALSE)</f>
        <v>#N/A</v>
      </c>
      <c r="D110" s="247"/>
      <c r="E110" s="248" t="s">
        <v>37</v>
      </c>
      <c r="F110" s="249" t="e">
        <f>RANK(F109,$T$19:$T$85,0)</f>
        <v>#N/A</v>
      </c>
      <c r="G110" s="249" t="e">
        <f>RANK(G109,$U$19:$U$85,0)</f>
        <v>#N/A</v>
      </c>
      <c r="H110" s="249" t="e">
        <f>RANK(H109,$V$19:$V$85,0)</f>
        <v>#N/A</v>
      </c>
      <c r="I110" s="249" t="e">
        <f>RANK(I109,$W$19:$W$85,0)</f>
        <v>#N/A</v>
      </c>
      <c r="J110" s="249" t="e">
        <f>RANK(J109,$X$19:$X$85,0)</f>
        <v>#N/A</v>
      </c>
      <c r="K110" s="249" t="e">
        <f>RANK(K109,$Y$19:$Y$85,0)</f>
        <v>#N/A</v>
      </c>
      <c r="L110" s="250" t="e">
        <f>RANK(L109,$Z$19:$Z$85,0)</f>
        <v>#N/A</v>
      </c>
      <c r="M110" s="251"/>
      <c r="N110" s="252"/>
      <c r="O110" s="251"/>
      <c r="P110" s="243">
        <f>B106</f>
        <v>1379</v>
      </c>
      <c r="Q110" s="131" t="e">
        <f>$A106</f>
        <v>#N/A</v>
      </c>
      <c r="R110" s="131">
        <v>5</v>
      </c>
      <c r="S110" s="131" t="e">
        <f>$A106</f>
        <v>#N/A</v>
      </c>
      <c r="T110" s="236"/>
      <c r="U110" s="236"/>
      <c r="V110" s="236"/>
      <c r="W110" s="236"/>
      <c r="X110" s="236"/>
      <c r="Y110" s="236"/>
      <c r="Z110" s="236"/>
      <c r="AB110" s="86"/>
      <c r="AC110" s="131"/>
      <c r="AD110" s="131"/>
    </row>
    <row r="111" spans="1:30" s="123" customFormat="1" ht="13.2" customHeight="1" thickTop="1" x14ac:dyDescent="0.35">
      <c r="A111" s="86" t="e">
        <f>RANK(M111,$M$16:$M$85,0)</f>
        <v>#N/A</v>
      </c>
      <c r="B111" s="86">
        <v>1380</v>
      </c>
      <c r="C111" s="123" t="e">
        <f>VLOOKUP(B111,Уч!$A$2:$L$16,2,FALSE)</f>
        <v>#N/A</v>
      </c>
      <c r="D111" s="231" t="e">
        <f>VLOOKUP(B111,Уч!$A$2:$L$16,3,FALSE)</f>
        <v>#N/A</v>
      </c>
      <c r="E111" s="232" t="s">
        <v>28</v>
      </c>
      <c r="F111" s="233" t="e">
        <f>VLOOKUP($B111,'110 сб '!$C$17:$I$87,5,FALSE)</f>
        <v>#N/A</v>
      </c>
      <c r="G111" s="233" t="e">
        <f>VLOOKUP($B111,высота!$C$17:$AF$42,29,FALSE)</f>
        <v>#N/A</v>
      </c>
      <c r="H111" s="233" t="e">
        <f>VLOOKUP($B111,ядро!$C$17:$K$43,8,FALSE)</f>
        <v>#N/A</v>
      </c>
      <c r="I111" s="233" t="e">
        <f>VLOOKUP($B111,'2_р'!$C$17:$I$68,5,FALSE)</f>
        <v>#N/A</v>
      </c>
      <c r="J111" s="233" t="e">
        <f>VLOOKUP($B111,Дл_р!$C$17:$O$43,11,FALSE)</f>
        <v>#N/A</v>
      </c>
      <c r="K111" s="233" t="e">
        <f>VLOOKUP($B111,К_р!$C$18:$K$31,8,FALSE)</f>
        <v>#N/A</v>
      </c>
      <c r="L111" s="234" t="e">
        <f>VLOOKUP($B111,'8_р'!$C$17:$H$77,5,FALSE)</f>
        <v>#N/A</v>
      </c>
      <c r="M111" s="152" t="e">
        <f>SUM(F113:L113)</f>
        <v>#N/A</v>
      </c>
      <c r="N111" s="86" t="e">
        <f>LOOKUP(M111,R$1:AA$1,R$2:AA$2)</f>
        <v>#N/A</v>
      </c>
      <c r="O111" s="86" t="e">
        <f>AC111+AD111+5</f>
        <v>#N/A</v>
      </c>
      <c r="P111" s="86">
        <f>B111</f>
        <v>1380</v>
      </c>
      <c r="Q111" s="131" t="e">
        <f>$A111</f>
        <v>#N/A</v>
      </c>
      <c r="R111" s="131">
        <v>1</v>
      </c>
      <c r="S111" s="131" t="e">
        <f>$A111</f>
        <v>#N/A</v>
      </c>
      <c r="T111" s="236"/>
      <c r="U111" s="236"/>
      <c r="V111" s="236"/>
      <c r="W111" s="236"/>
      <c r="X111" s="236"/>
      <c r="Y111" s="236"/>
      <c r="Z111" s="236"/>
      <c r="AB111" s="86"/>
      <c r="AC111" s="131" t="e">
        <f>IF(AND(Q111&gt;16,M111&gt;=4600),"1",LOOKUP(Q111,Q$5:AH$5,Q$6:AH$6))</f>
        <v>#N/A</v>
      </c>
      <c r="AD111" s="131" t="e">
        <f>LOOKUP(N111,R$8:W$8,R$9:W$9)</f>
        <v>#N/A</v>
      </c>
    </row>
    <row r="112" spans="1:30" s="123" customFormat="1" ht="13.2" customHeight="1" x14ac:dyDescent="0.35">
      <c r="A112" s="86"/>
      <c r="B112" s="86"/>
      <c r="C112" s="123" t="e">
        <f>VLOOKUP(B111,Уч!$A$2:$L$16,5,FALSE)</f>
        <v>#N/A</v>
      </c>
      <c r="D112" s="231" t="e">
        <f>VLOOKUP(B111,Уч!$A$2:$L$16,4,FALSE)</f>
        <v>#N/A</v>
      </c>
      <c r="E112" s="237" t="s">
        <v>79</v>
      </c>
      <c r="F112" s="238" t="e">
        <f>VLOOKUP($B111,'110 сб '!$C$17:$I$87,6,FALSE)</f>
        <v>#N/A</v>
      </c>
      <c r="G112" s="239"/>
      <c r="H112" s="239"/>
      <c r="I112" s="238" t="e">
        <f>VLOOKUP($B111,'2_р'!$C$17:$I$68,6,FALSE)</f>
        <v>#N/A</v>
      </c>
      <c r="J112" s="238" t="e">
        <f>VLOOKUP($B111,Дл_р!$C$17:$O$43,12,FALSE)</f>
        <v>#N/A</v>
      </c>
      <c r="K112" s="239"/>
      <c r="L112" s="240"/>
      <c r="M112" s="152"/>
      <c r="N112" s="86"/>
      <c r="O112" s="86" t="e">
        <f>CONCATENATE(AC111,"+",AD111,"+",5)</f>
        <v>#N/A</v>
      </c>
      <c r="P112" s="86">
        <f>B111</f>
        <v>1380</v>
      </c>
      <c r="Q112" s="131" t="e">
        <f>$A111</f>
        <v>#N/A</v>
      </c>
      <c r="R112" s="131">
        <v>2</v>
      </c>
      <c r="S112" s="131" t="e">
        <f>$A111</f>
        <v>#N/A</v>
      </c>
      <c r="T112" s="236"/>
      <c r="U112" s="236"/>
      <c r="V112" s="236"/>
      <c r="W112" s="236"/>
      <c r="X112" s="236"/>
      <c r="Y112" s="236"/>
      <c r="Z112" s="236"/>
      <c r="AB112" s="86"/>
      <c r="AC112" s="131"/>
      <c r="AD112" s="131"/>
    </row>
    <row r="113" spans="1:30" s="123" customFormat="1" ht="13.2" customHeight="1" x14ac:dyDescent="0.35">
      <c r="A113" s="86"/>
      <c r="B113" s="86"/>
      <c r="C113" s="241" t="e">
        <f>VLOOKUP(B111,Уч!$A$2:$L$16,7,FALSE)</f>
        <v>#N/A</v>
      </c>
      <c r="D113" s="242"/>
      <c r="E113" s="237" t="s">
        <v>70</v>
      </c>
      <c r="F113" s="243" t="e">
        <f>VLOOKUP($B111,'110 сб '!$C$17:$I$87,7,FALSE)</f>
        <v>#N/A</v>
      </c>
      <c r="G113" s="243" t="e">
        <f>VLOOKUP($B111,высота!$C$17:$AF$42,30,FALSE)</f>
        <v>#N/A</v>
      </c>
      <c r="H113" s="243" t="e">
        <f>VLOOKUP($B111,ядро!$C$17:$K$43,9,FALSE)</f>
        <v>#N/A</v>
      </c>
      <c r="I113" s="243" t="e">
        <f>VLOOKUP($B111,'2_р'!$C$17:$I$68,7,FALSE)</f>
        <v>#N/A</v>
      </c>
      <c r="J113" s="243" t="e">
        <f>VLOOKUP($B111,Дл_р!$C$17:$O$43,13,FALSE)</f>
        <v>#N/A</v>
      </c>
      <c r="K113" s="243" t="e">
        <f>VLOOKUP($B111,К_р!$C$18:$K$31,9,FALSE)</f>
        <v>#N/A</v>
      </c>
      <c r="L113" s="240" t="e">
        <f>VLOOKUP($B111,'8_р'!$C$17:$H$77,6,FALSE)</f>
        <v>#N/A</v>
      </c>
      <c r="M113" s="152"/>
      <c r="N113" s="244"/>
      <c r="O113" s="152"/>
      <c r="P113" s="243">
        <f>B111</f>
        <v>1380</v>
      </c>
      <c r="Q113" s="131" t="e">
        <f>$A111</f>
        <v>#N/A</v>
      </c>
      <c r="R113" s="131">
        <v>3</v>
      </c>
      <c r="S113" s="131" t="e">
        <f>$A111</f>
        <v>#N/A</v>
      </c>
      <c r="T113" s="236"/>
      <c r="U113" s="236"/>
      <c r="V113" s="236"/>
      <c r="W113" s="236"/>
      <c r="X113" s="236"/>
      <c r="Y113" s="236"/>
      <c r="Z113" s="236"/>
      <c r="AB113" s="86"/>
      <c r="AC113" s="131"/>
      <c r="AD113" s="131"/>
    </row>
    <row r="114" spans="1:30" s="123" customFormat="1" ht="13.2" customHeight="1" x14ac:dyDescent="0.35">
      <c r="A114" s="86"/>
      <c r="B114" s="86"/>
      <c r="C114" s="241" t="e">
        <f>VLOOKUP(B111,Уч!$A$2:$L$16,11,FALSE)</f>
        <v>#N/A</v>
      </c>
      <c r="D114" s="131"/>
      <c r="E114" s="237" t="s">
        <v>77</v>
      </c>
      <c r="F114" s="243" t="e">
        <f>F113</f>
        <v>#N/A</v>
      </c>
      <c r="G114" s="243" t="e">
        <f t="shared" ref="G114" si="99">F114+G113</f>
        <v>#N/A</v>
      </c>
      <c r="H114" s="243" t="e">
        <f t="shared" ref="H114" si="100">G114+H113</f>
        <v>#N/A</v>
      </c>
      <c r="I114" s="243" t="e">
        <f t="shared" ref="I114" si="101">H114+I113</f>
        <v>#N/A</v>
      </c>
      <c r="J114" s="243" t="e">
        <f t="shared" ref="J114" si="102">I114+J113</f>
        <v>#N/A</v>
      </c>
      <c r="K114" s="243" t="e">
        <f t="shared" ref="K114" si="103">J114+K113</f>
        <v>#N/A</v>
      </c>
      <c r="L114" s="240" t="e">
        <f t="shared" ref="L114" si="104">K114+L113</f>
        <v>#N/A</v>
      </c>
      <c r="M114" s="152"/>
      <c r="N114" s="244"/>
      <c r="O114" s="152"/>
      <c r="P114" s="243">
        <f>B111</f>
        <v>1380</v>
      </c>
      <c r="Q114" s="131" t="e">
        <f>$A111</f>
        <v>#N/A</v>
      </c>
      <c r="R114" s="131">
        <v>4</v>
      </c>
      <c r="S114" s="131" t="e">
        <f>$A111</f>
        <v>#N/A</v>
      </c>
      <c r="T114" s="152" t="e">
        <f t="shared" ref="T114" si="105">F114</f>
        <v>#N/A</v>
      </c>
      <c r="U114" s="152" t="e">
        <f t="shared" ref="U114" si="106">G114</f>
        <v>#N/A</v>
      </c>
      <c r="V114" s="152" t="e">
        <f t="shared" ref="V114" si="107">H114</f>
        <v>#N/A</v>
      </c>
      <c r="W114" s="152" t="e">
        <f t="shared" ref="W114" si="108">I114</f>
        <v>#N/A</v>
      </c>
      <c r="X114" s="152" t="e">
        <f t="shared" ref="X114" si="109">J114</f>
        <v>#N/A</v>
      </c>
      <c r="Y114" s="152" t="e">
        <f t="shared" ref="Y114" si="110">K114</f>
        <v>#N/A</v>
      </c>
      <c r="Z114" s="152" t="e">
        <f t="shared" ref="Z114" si="111">L114</f>
        <v>#N/A</v>
      </c>
      <c r="AB114" s="86"/>
      <c r="AC114" s="131"/>
      <c r="AD114" s="131"/>
    </row>
    <row r="115" spans="1:30" s="123" customFormat="1" ht="13.2" customHeight="1" thickBot="1" x14ac:dyDescent="0.4">
      <c r="A115" s="245"/>
      <c r="B115" s="245"/>
      <c r="C115" s="246" t="e">
        <f>VLOOKUP(B111,Уч!$A$2:$L$16,12,FALSE)</f>
        <v>#N/A</v>
      </c>
      <c r="D115" s="247"/>
      <c r="E115" s="248" t="s">
        <v>37</v>
      </c>
      <c r="F115" s="249" t="e">
        <f>RANK(F114,$T$19:$T$85,0)</f>
        <v>#N/A</v>
      </c>
      <c r="G115" s="249" t="e">
        <f>RANK(G114,$U$19:$U$85,0)</f>
        <v>#N/A</v>
      </c>
      <c r="H115" s="249" t="e">
        <f>RANK(H114,$V$19:$V$85,0)</f>
        <v>#N/A</v>
      </c>
      <c r="I115" s="249" t="e">
        <f>RANK(I114,$W$19:$W$85,0)</f>
        <v>#N/A</v>
      </c>
      <c r="J115" s="249" t="e">
        <f>RANK(J114,$X$19:$X$85,0)</f>
        <v>#N/A</v>
      </c>
      <c r="K115" s="249" t="e">
        <f>RANK(K114,$Y$19:$Y$85,0)</f>
        <v>#N/A</v>
      </c>
      <c r="L115" s="250" t="e">
        <f>RANK(L114,$Z$19:$Z$85,0)</f>
        <v>#N/A</v>
      </c>
      <c r="M115" s="251"/>
      <c r="N115" s="252"/>
      <c r="O115" s="251"/>
      <c r="P115" s="243">
        <f>B111</f>
        <v>1380</v>
      </c>
      <c r="Q115" s="131" t="e">
        <f>$A111</f>
        <v>#N/A</v>
      </c>
      <c r="R115" s="131">
        <v>5</v>
      </c>
      <c r="S115" s="131" t="e">
        <f>$A111</f>
        <v>#N/A</v>
      </c>
      <c r="T115" s="236"/>
      <c r="U115" s="236"/>
      <c r="V115" s="236"/>
      <c r="W115" s="236"/>
      <c r="X115" s="236"/>
      <c r="Y115" s="236"/>
      <c r="Z115" s="236"/>
      <c r="AB115" s="86"/>
      <c r="AC115" s="131"/>
      <c r="AD115" s="131"/>
    </row>
    <row r="116" spans="1:30" s="123" customFormat="1" ht="13.2" customHeight="1" thickTop="1" x14ac:dyDescent="0.35">
      <c r="A116" s="86" t="e">
        <f>RANK(M116,$M$16:$M$85,0)</f>
        <v>#N/A</v>
      </c>
      <c r="B116" s="86">
        <v>1416</v>
      </c>
      <c r="C116" s="123" t="e">
        <f>VLOOKUP(B116,Уч!$A$2:$L$16,2,FALSE)</f>
        <v>#N/A</v>
      </c>
      <c r="D116" s="231" t="e">
        <f>VLOOKUP(B116,Уч!$A$2:$L$16,3,FALSE)</f>
        <v>#N/A</v>
      </c>
      <c r="E116" s="232" t="s">
        <v>28</v>
      </c>
      <c r="F116" s="233" t="e">
        <f>VLOOKUP($B116,'110 сб '!$C$17:$I$87,5,FALSE)</f>
        <v>#N/A</v>
      </c>
      <c r="G116" s="233" t="e">
        <f>VLOOKUP($B116,высота!$C$17:$AF$42,29,FALSE)</f>
        <v>#N/A</v>
      </c>
      <c r="H116" s="233">
        <f>VLOOKUP($B116,ядро!$C$17:$K$43,8,FALSE)</f>
        <v>0</v>
      </c>
      <c r="I116" s="233" t="e">
        <f>VLOOKUP($B116,'2_р'!$C$17:$I$68,5,FALSE)</f>
        <v>#N/A</v>
      </c>
      <c r="J116" s="233" t="e">
        <f>VLOOKUP($B116,Дл_р!$C$17:$O$43,11,FALSE)</f>
        <v>#N/A</v>
      </c>
      <c r="K116" s="233" t="e">
        <f>VLOOKUP($B116,К_р!$C$18:$K$31,8,FALSE)</f>
        <v>#N/A</v>
      </c>
      <c r="L116" s="234" t="e">
        <f>VLOOKUP($B116,'8_р'!$C$17:$H$77,5,FALSE)</f>
        <v>#N/A</v>
      </c>
      <c r="M116" s="152" t="e">
        <f>SUM(F118:L118)</f>
        <v>#N/A</v>
      </c>
      <c r="N116" s="86" t="e">
        <f>LOOKUP(M116,R$1:AA$1,R$2:AA$2)</f>
        <v>#N/A</v>
      </c>
      <c r="O116" s="86" t="e">
        <f>AC116+AD116+5</f>
        <v>#N/A</v>
      </c>
      <c r="P116" s="86">
        <f>B116</f>
        <v>1416</v>
      </c>
      <c r="Q116" s="131" t="e">
        <f>$A116</f>
        <v>#N/A</v>
      </c>
      <c r="R116" s="131">
        <v>1</v>
      </c>
      <c r="S116" s="131" t="e">
        <f>$A116</f>
        <v>#N/A</v>
      </c>
      <c r="T116" s="236"/>
      <c r="U116" s="236"/>
      <c r="V116" s="236"/>
      <c r="W116" s="236"/>
      <c r="X116" s="236"/>
      <c r="Y116" s="236"/>
      <c r="Z116" s="236"/>
      <c r="AB116" s="86"/>
      <c r="AC116" s="131" t="e">
        <f>IF(AND(Q116&gt;16,M116&gt;=4600),"1",LOOKUP(Q116,Q$5:AH$5,Q$6:AH$6))</f>
        <v>#N/A</v>
      </c>
      <c r="AD116" s="131" t="e">
        <f>LOOKUP(N116,R$8:W$8,R$9:W$9)</f>
        <v>#N/A</v>
      </c>
    </row>
    <row r="117" spans="1:30" s="123" customFormat="1" ht="13.2" customHeight="1" x14ac:dyDescent="0.35">
      <c r="A117" s="86"/>
      <c r="B117" s="86"/>
      <c r="C117" s="123" t="e">
        <f>VLOOKUP(B116,Уч!$A$2:$L$16,5,FALSE)</f>
        <v>#N/A</v>
      </c>
      <c r="D117" s="231" t="e">
        <f>VLOOKUP(B116,Уч!$A$2:$L$16,4,FALSE)</f>
        <v>#N/A</v>
      </c>
      <c r="E117" s="237" t="s">
        <v>79</v>
      </c>
      <c r="F117" s="238" t="e">
        <f>VLOOKUP($B116,'110 сб '!$C$17:$I$87,6,FALSE)</f>
        <v>#N/A</v>
      </c>
      <c r="G117" s="239"/>
      <c r="H117" s="239"/>
      <c r="I117" s="238" t="e">
        <f>VLOOKUP($B116,'2_р'!$C$17:$I$68,6,FALSE)</f>
        <v>#N/A</v>
      </c>
      <c r="J117" s="238" t="e">
        <f>VLOOKUP($B116,Дл_р!$C$17:$O$43,12,FALSE)</f>
        <v>#N/A</v>
      </c>
      <c r="K117" s="239"/>
      <c r="L117" s="240"/>
      <c r="M117" s="152"/>
      <c r="N117" s="86"/>
      <c r="O117" s="86" t="e">
        <f>CONCATENATE(AC116,"+",AD116,"+",5)</f>
        <v>#N/A</v>
      </c>
      <c r="P117" s="86">
        <f>B116</f>
        <v>1416</v>
      </c>
      <c r="Q117" s="131" t="e">
        <f>$A116</f>
        <v>#N/A</v>
      </c>
      <c r="R117" s="131">
        <v>2</v>
      </c>
      <c r="S117" s="131" t="e">
        <f>$A116</f>
        <v>#N/A</v>
      </c>
      <c r="T117" s="236"/>
      <c r="U117" s="236"/>
      <c r="V117" s="236"/>
      <c r="W117" s="236"/>
      <c r="X117" s="236"/>
      <c r="Y117" s="236"/>
      <c r="Z117" s="236"/>
      <c r="AB117" s="86"/>
      <c r="AC117" s="131"/>
      <c r="AD117" s="131"/>
    </row>
    <row r="118" spans="1:30" s="123" customFormat="1" ht="13.2" customHeight="1" x14ac:dyDescent="0.35">
      <c r="A118" s="86"/>
      <c r="B118" s="86"/>
      <c r="C118" s="241" t="e">
        <f>VLOOKUP(B116,Уч!$A$2:$L$16,7,FALSE)</f>
        <v>#N/A</v>
      </c>
      <c r="D118" s="242"/>
      <c r="E118" s="237" t="s">
        <v>70</v>
      </c>
      <c r="F118" s="243" t="e">
        <f>VLOOKUP($B116,'110 сб '!$C$17:$I$87,7,FALSE)</f>
        <v>#N/A</v>
      </c>
      <c r="G118" s="243" t="e">
        <f>VLOOKUP($B116,высота!$C$17:$AF$42,30,FALSE)</f>
        <v>#N/A</v>
      </c>
      <c r="H118" s="243">
        <f>VLOOKUP($B116,ядро!$C$17:$K$43,9,FALSE)</f>
        <v>0</v>
      </c>
      <c r="I118" s="243" t="e">
        <f>VLOOKUP($B116,'2_р'!$C$17:$I$68,7,FALSE)</f>
        <v>#N/A</v>
      </c>
      <c r="J118" s="243" t="e">
        <f>VLOOKUP($B116,Дл_р!$C$17:$O$43,13,FALSE)</f>
        <v>#N/A</v>
      </c>
      <c r="K118" s="243" t="e">
        <f>VLOOKUP($B116,К_р!$C$18:$K$31,9,FALSE)</f>
        <v>#N/A</v>
      </c>
      <c r="L118" s="240" t="e">
        <f>VLOOKUP($B116,'8_р'!$C$17:$H$77,6,FALSE)</f>
        <v>#N/A</v>
      </c>
      <c r="M118" s="152"/>
      <c r="N118" s="244"/>
      <c r="O118" s="152"/>
      <c r="P118" s="243">
        <f>B116</f>
        <v>1416</v>
      </c>
      <c r="Q118" s="131" t="e">
        <f>$A116</f>
        <v>#N/A</v>
      </c>
      <c r="R118" s="131">
        <v>3</v>
      </c>
      <c r="S118" s="131" t="e">
        <f>$A116</f>
        <v>#N/A</v>
      </c>
      <c r="T118" s="236"/>
      <c r="U118" s="236"/>
      <c r="V118" s="236"/>
      <c r="W118" s="236"/>
      <c r="X118" s="236"/>
      <c r="Y118" s="236"/>
      <c r="Z118" s="236"/>
      <c r="AB118" s="86"/>
      <c r="AC118" s="131"/>
      <c r="AD118" s="131"/>
    </row>
    <row r="119" spans="1:30" s="123" customFormat="1" ht="13.2" customHeight="1" x14ac:dyDescent="0.35">
      <c r="A119" s="86"/>
      <c r="B119" s="86"/>
      <c r="C119" s="241" t="e">
        <f>VLOOKUP(B116,Уч!$A$2:$L$16,11,FALSE)</f>
        <v>#N/A</v>
      </c>
      <c r="D119" s="131"/>
      <c r="E119" s="237" t="s">
        <v>77</v>
      </c>
      <c r="F119" s="243" t="e">
        <f>F118</f>
        <v>#N/A</v>
      </c>
      <c r="G119" s="243" t="e">
        <f t="shared" ref="G119" si="112">F119+G118</f>
        <v>#N/A</v>
      </c>
      <c r="H119" s="243" t="e">
        <f t="shared" ref="H119" si="113">G119+H118</f>
        <v>#N/A</v>
      </c>
      <c r="I119" s="243" t="e">
        <f t="shared" ref="I119" si="114">H119+I118</f>
        <v>#N/A</v>
      </c>
      <c r="J119" s="243" t="e">
        <f t="shared" ref="J119" si="115">I119+J118</f>
        <v>#N/A</v>
      </c>
      <c r="K119" s="243" t="e">
        <f t="shared" ref="K119" si="116">J119+K118</f>
        <v>#N/A</v>
      </c>
      <c r="L119" s="240" t="e">
        <f t="shared" ref="L119" si="117">K119+L118</f>
        <v>#N/A</v>
      </c>
      <c r="M119" s="152"/>
      <c r="N119" s="244"/>
      <c r="O119" s="152"/>
      <c r="P119" s="243">
        <f>B116</f>
        <v>1416</v>
      </c>
      <c r="Q119" s="131" t="e">
        <f>$A116</f>
        <v>#N/A</v>
      </c>
      <c r="R119" s="131">
        <v>4</v>
      </c>
      <c r="S119" s="131" t="e">
        <f>$A116</f>
        <v>#N/A</v>
      </c>
      <c r="T119" s="152" t="e">
        <f t="shared" ref="T119" si="118">F119</f>
        <v>#N/A</v>
      </c>
      <c r="U119" s="152" t="e">
        <f t="shared" ref="U119" si="119">G119</f>
        <v>#N/A</v>
      </c>
      <c r="V119" s="152" t="e">
        <f t="shared" ref="V119" si="120">H119</f>
        <v>#N/A</v>
      </c>
      <c r="W119" s="152" t="e">
        <f t="shared" ref="W119" si="121">I119</f>
        <v>#N/A</v>
      </c>
      <c r="X119" s="152" t="e">
        <f t="shared" ref="X119" si="122">J119</f>
        <v>#N/A</v>
      </c>
      <c r="Y119" s="152" t="e">
        <f t="shared" ref="Y119" si="123">K119</f>
        <v>#N/A</v>
      </c>
      <c r="Z119" s="152" t="e">
        <f t="shared" ref="Z119" si="124">L119</f>
        <v>#N/A</v>
      </c>
      <c r="AB119" s="86"/>
      <c r="AC119" s="131"/>
      <c r="AD119" s="131"/>
    </row>
    <row r="120" spans="1:30" s="123" customFormat="1" ht="13.2" customHeight="1" thickBot="1" x14ac:dyDescent="0.4">
      <c r="A120" s="245"/>
      <c r="B120" s="245"/>
      <c r="C120" s="246" t="e">
        <f>VLOOKUP(B116,Уч!$A$2:$L$16,12,FALSE)</f>
        <v>#N/A</v>
      </c>
      <c r="D120" s="247"/>
      <c r="E120" s="248" t="s">
        <v>37</v>
      </c>
      <c r="F120" s="249" t="e">
        <f>RANK(F119,$T$19:$T$85,0)</f>
        <v>#N/A</v>
      </c>
      <c r="G120" s="249" t="e">
        <f>RANK(G119,$U$19:$U$85,0)</f>
        <v>#N/A</v>
      </c>
      <c r="H120" s="249" t="e">
        <f>RANK(H119,$V$19:$V$85,0)</f>
        <v>#N/A</v>
      </c>
      <c r="I120" s="249" t="e">
        <f>RANK(I119,$W$19:$W$85,0)</f>
        <v>#N/A</v>
      </c>
      <c r="J120" s="249" t="e">
        <f>RANK(J119,$X$19:$X$85,0)</f>
        <v>#N/A</v>
      </c>
      <c r="K120" s="249" t="e">
        <f>RANK(K119,$Y$19:$Y$85,0)</f>
        <v>#N/A</v>
      </c>
      <c r="L120" s="250" t="e">
        <f>RANK(L119,$Z$19:$Z$85,0)</f>
        <v>#N/A</v>
      </c>
      <c r="M120" s="251"/>
      <c r="N120" s="252"/>
      <c r="O120" s="251"/>
      <c r="P120" s="243">
        <f>B116</f>
        <v>1416</v>
      </c>
      <c r="Q120" s="131" t="e">
        <f>$A116</f>
        <v>#N/A</v>
      </c>
      <c r="R120" s="131">
        <v>5</v>
      </c>
      <c r="S120" s="131" t="e">
        <f>$A116</f>
        <v>#N/A</v>
      </c>
      <c r="T120" s="236"/>
      <c r="U120" s="236"/>
      <c r="V120" s="236"/>
      <c r="W120" s="236"/>
      <c r="X120" s="236"/>
      <c r="Y120" s="236"/>
      <c r="Z120" s="236"/>
      <c r="AB120" s="86"/>
      <c r="AC120" s="131"/>
      <c r="AD120" s="131"/>
    </row>
    <row r="121" spans="1:30" s="123" customFormat="1" ht="13.2" customHeight="1" thickTop="1" x14ac:dyDescent="0.35">
      <c r="A121" s="86" t="e">
        <f>RANK(M121,$M$16:$M$85,0)</f>
        <v>#N/A</v>
      </c>
      <c r="B121" s="86">
        <v>1367</v>
      </c>
      <c r="C121" s="123" t="e">
        <f>VLOOKUP(B121,Уч!$A$2:$L$16,2,FALSE)</f>
        <v>#N/A</v>
      </c>
      <c r="D121" s="231" t="e">
        <f>VLOOKUP(B121,Уч!$A$2:$L$16,3,FALSE)</f>
        <v>#N/A</v>
      </c>
      <c r="E121" s="232" t="s">
        <v>28</v>
      </c>
      <c r="F121" s="233" t="e">
        <f>VLOOKUP($B121,'110 сб '!$C$17:$I$87,5,FALSE)</f>
        <v>#N/A</v>
      </c>
      <c r="G121" s="233" t="e">
        <f>VLOOKUP($B121,высота!$C$17:$AF$42,29,FALSE)</f>
        <v>#N/A</v>
      </c>
      <c r="H121" s="233" t="e">
        <f>VLOOKUP($B121,ядро!$C$17:$K$43,8,FALSE)</f>
        <v>#N/A</v>
      </c>
      <c r="I121" s="233" t="e">
        <f>VLOOKUP($B121,'2_р'!$C$17:$I$68,5,FALSE)</f>
        <v>#N/A</v>
      </c>
      <c r="J121" s="233" t="e">
        <f>VLOOKUP($B121,Дл_р!$C$17:$O$43,11,FALSE)</f>
        <v>#N/A</v>
      </c>
      <c r="K121" s="233" t="e">
        <f>VLOOKUP($B121,К_р!$C$18:$K$31,8,FALSE)</f>
        <v>#N/A</v>
      </c>
      <c r="L121" s="234" t="e">
        <f>VLOOKUP($B121,'8_р'!$C$17:$H$77,5,FALSE)</f>
        <v>#N/A</v>
      </c>
      <c r="M121" s="152" t="e">
        <f>SUM(F123:L123)</f>
        <v>#N/A</v>
      </c>
      <c r="N121" s="86" t="e">
        <f>LOOKUP(M121,R$1:AA$1,R$2:AA$2)</f>
        <v>#N/A</v>
      </c>
      <c r="O121" s="86" t="e">
        <f>AC121+AD121+5</f>
        <v>#N/A</v>
      </c>
      <c r="P121" s="86">
        <f>B121</f>
        <v>1367</v>
      </c>
      <c r="Q121" s="131" t="e">
        <f>$A121</f>
        <v>#N/A</v>
      </c>
      <c r="R121" s="131">
        <v>1</v>
      </c>
      <c r="S121" s="131" t="e">
        <f>$A121</f>
        <v>#N/A</v>
      </c>
      <c r="T121" s="236"/>
      <c r="U121" s="236"/>
      <c r="V121" s="236"/>
      <c r="W121" s="236"/>
      <c r="X121" s="236"/>
      <c r="Y121" s="236"/>
      <c r="Z121" s="236"/>
      <c r="AB121" s="86"/>
      <c r="AC121" s="131" t="e">
        <f>IF(AND(Q121&gt;16,M121&gt;=4600),"1",LOOKUP(Q121,Q$5:AH$5,Q$6:AH$6))</f>
        <v>#N/A</v>
      </c>
      <c r="AD121" s="131" t="e">
        <f>LOOKUP(N121,R$8:W$8,R$9:W$9)</f>
        <v>#N/A</v>
      </c>
    </row>
    <row r="122" spans="1:30" s="123" customFormat="1" ht="13.2" customHeight="1" x14ac:dyDescent="0.35">
      <c r="A122" s="86"/>
      <c r="B122" s="86"/>
      <c r="C122" s="123" t="e">
        <f>VLOOKUP(B121,Уч!$A$2:$L$16,5,FALSE)</f>
        <v>#N/A</v>
      </c>
      <c r="D122" s="231" t="e">
        <f>VLOOKUP(B121,Уч!$A$2:$L$16,4,FALSE)</f>
        <v>#N/A</v>
      </c>
      <c r="E122" s="237" t="s">
        <v>79</v>
      </c>
      <c r="F122" s="238" t="e">
        <f>VLOOKUP($B121,'110 сб '!$C$17:$I$87,6,FALSE)</f>
        <v>#N/A</v>
      </c>
      <c r="G122" s="239"/>
      <c r="H122" s="239"/>
      <c r="I122" s="238" t="e">
        <f>VLOOKUP($B121,'2_р'!$C$17:$I$68,6,FALSE)</f>
        <v>#N/A</v>
      </c>
      <c r="J122" s="238" t="e">
        <f>VLOOKUP($B121,Дл_р!$C$17:$O$43,12,FALSE)</f>
        <v>#N/A</v>
      </c>
      <c r="K122" s="239"/>
      <c r="L122" s="240"/>
      <c r="M122" s="152"/>
      <c r="N122" s="86"/>
      <c r="O122" s="86" t="e">
        <f>CONCATENATE(AC121,"+",AD121,"+",5)</f>
        <v>#N/A</v>
      </c>
      <c r="P122" s="86">
        <f>B121</f>
        <v>1367</v>
      </c>
      <c r="Q122" s="131" t="e">
        <f>$A121</f>
        <v>#N/A</v>
      </c>
      <c r="R122" s="131">
        <v>2</v>
      </c>
      <c r="S122" s="131" t="e">
        <f>$A121</f>
        <v>#N/A</v>
      </c>
      <c r="T122" s="236"/>
      <c r="U122" s="236"/>
      <c r="V122" s="236"/>
      <c r="W122" s="236"/>
      <c r="X122" s="236"/>
      <c r="Y122" s="236"/>
      <c r="Z122" s="236"/>
      <c r="AB122" s="86"/>
      <c r="AC122" s="131"/>
      <c r="AD122" s="131"/>
    </row>
    <row r="123" spans="1:30" s="123" customFormat="1" ht="13.2" customHeight="1" x14ac:dyDescent="0.35">
      <c r="A123" s="86"/>
      <c r="B123" s="86"/>
      <c r="C123" s="241" t="e">
        <f>VLOOKUP(B121,Уч!$A$2:$L$16,7,FALSE)</f>
        <v>#N/A</v>
      </c>
      <c r="D123" s="242"/>
      <c r="E123" s="237" t="s">
        <v>70</v>
      </c>
      <c r="F123" s="243" t="e">
        <f>VLOOKUP($B121,'110 сб '!$C$17:$I$87,7,FALSE)</f>
        <v>#N/A</v>
      </c>
      <c r="G123" s="243" t="e">
        <f>VLOOKUP($B121,высота!$C$17:$AF$42,30,FALSE)</f>
        <v>#N/A</v>
      </c>
      <c r="H123" s="243" t="e">
        <f>VLOOKUP($B121,ядро!$C$17:$K$43,9,FALSE)</f>
        <v>#N/A</v>
      </c>
      <c r="I123" s="243" t="e">
        <f>VLOOKUP($B121,'2_р'!$C$17:$I$68,7,FALSE)</f>
        <v>#N/A</v>
      </c>
      <c r="J123" s="243" t="e">
        <f>VLOOKUP($B121,Дл_р!$C$17:$O$43,13,FALSE)</f>
        <v>#N/A</v>
      </c>
      <c r="K123" s="243" t="e">
        <f>VLOOKUP($B121,К_р!$C$18:$K$31,9,FALSE)</f>
        <v>#N/A</v>
      </c>
      <c r="L123" s="240" t="e">
        <f>VLOOKUP($B121,'8_р'!$C$17:$H$77,6,FALSE)</f>
        <v>#N/A</v>
      </c>
      <c r="M123" s="152"/>
      <c r="N123" s="244"/>
      <c r="O123" s="152"/>
      <c r="P123" s="243">
        <f>B121</f>
        <v>1367</v>
      </c>
      <c r="Q123" s="131" t="e">
        <f>$A121</f>
        <v>#N/A</v>
      </c>
      <c r="R123" s="131">
        <v>3</v>
      </c>
      <c r="S123" s="131" t="e">
        <f>$A121</f>
        <v>#N/A</v>
      </c>
      <c r="T123" s="236"/>
      <c r="U123" s="236"/>
      <c r="V123" s="236"/>
      <c r="W123" s="236"/>
      <c r="X123" s="236"/>
      <c r="Y123" s="236"/>
      <c r="Z123" s="236"/>
      <c r="AB123" s="86"/>
      <c r="AC123" s="131"/>
      <c r="AD123" s="131"/>
    </row>
    <row r="124" spans="1:30" s="123" customFormat="1" ht="13.2" customHeight="1" x14ac:dyDescent="0.35">
      <c r="A124" s="86"/>
      <c r="B124" s="86"/>
      <c r="C124" s="241" t="e">
        <f>VLOOKUP(B121,Уч!$A$2:$L$16,11,FALSE)</f>
        <v>#N/A</v>
      </c>
      <c r="D124" s="131"/>
      <c r="E124" s="237" t="s">
        <v>77</v>
      </c>
      <c r="F124" s="243" t="e">
        <f>F123</f>
        <v>#N/A</v>
      </c>
      <c r="G124" s="243" t="e">
        <f t="shared" ref="G124" si="125">F124+G123</f>
        <v>#N/A</v>
      </c>
      <c r="H124" s="243" t="e">
        <f t="shared" ref="H124" si="126">G124+H123</f>
        <v>#N/A</v>
      </c>
      <c r="I124" s="243" t="e">
        <f t="shared" ref="I124" si="127">H124+I123</f>
        <v>#N/A</v>
      </c>
      <c r="J124" s="243" t="e">
        <f t="shared" ref="J124" si="128">I124+J123</f>
        <v>#N/A</v>
      </c>
      <c r="K124" s="243" t="e">
        <f t="shared" ref="K124" si="129">J124+K123</f>
        <v>#N/A</v>
      </c>
      <c r="L124" s="240" t="e">
        <f t="shared" ref="L124" si="130">K124+L123</f>
        <v>#N/A</v>
      </c>
      <c r="M124" s="152"/>
      <c r="N124" s="244"/>
      <c r="O124" s="152"/>
      <c r="P124" s="243">
        <f>B121</f>
        <v>1367</v>
      </c>
      <c r="Q124" s="131" t="e">
        <f>$A121</f>
        <v>#N/A</v>
      </c>
      <c r="R124" s="131">
        <v>4</v>
      </c>
      <c r="S124" s="131" t="e">
        <f>$A121</f>
        <v>#N/A</v>
      </c>
      <c r="T124" s="152" t="e">
        <f t="shared" ref="T124" si="131">F124</f>
        <v>#N/A</v>
      </c>
      <c r="U124" s="152" t="e">
        <f t="shared" ref="U124" si="132">G124</f>
        <v>#N/A</v>
      </c>
      <c r="V124" s="152" t="e">
        <f t="shared" ref="V124" si="133">H124</f>
        <v>#N/A</v>
      </c>
      <c r="W124" s="152" t="e">
        <f t="shared" ref="W124" si="134">I124</f>
        <v>#N/A</v>
      </c>
      <c r="X124" s="152" t="e">
        <f t="shared" ref="X124" si="135">J124</f>
        <v>#N/A</v>
      </c>
      <c r="Y124" s="152" t="e">
        <f t="shared" ref="Y124" si="136">K124</f>
        <v>#N/A</v>
      </c>
      <c r="Z124" s="152" t="e">
        <f t="shared" ref="Z124" si="137">L124</f>
        <v>#N/A</v>
      </c>
      <c r="AB124" s="86"/>
      <c r="AC124" s="131"/>
      <c r="AD124" s="131"/>
    </row>
    <row r="125" spans="1:30" s="123" customFormat="1" ht="13.2" customHeight="1" thickBot="1" x14ac:dyDescent="0.4">
      <c r="A125" s="245"/>
      <c r="B125" s="245"/>
      <c r="C125" s="246" t="e">
        <f>VLOOKUP(B121,Уч!$A$2:$L$16,12,FALSE)</f>
        <v>#N/A</v>
      </c>
      <c r="D125" s="247"/>
      <c r="E125" s="248" t="s">
        <v>37</v>
      </c>
      <c r="F125" s="249" t="e">
        <f>RANK(F124,$T$19:$T$85,0)</f>
        <v>#N/A</v>
      </c>
      <c r="G125" s="249" t="e">
        <f>RANK(G124,$U$19:$U$85,0)</f>
        <v>#N/A</v>
      </c>
      <c r="H125" s="249" t="e">
        <f>RANK(H124,$V$19:$V$85,0)</f>
        <v>#N/A</v>
      </c>
      <c r="I125" s="249" t="e">
        <f>RANK(I124,$W$19:$W$85,0)</f>
        <v>#N/A</v>
      </c>
      <c r="J125" s="249" t="e">
        <f>RANK(J124,$X$19:$X$85,0)</f>
        <v>#N/A</v>
      </c>
      <c r="K125" s="249" t="e">
        <f>RANK(K124,$Y$19:$Y$85,0)</f>
        <v>#N/A</v>
      </c>
      <c r="L125" s="250" t="e">
        <f>RANK(L124,$Z$19:$Z$85,0)</f>
        <v>#N/A</v>
      </c>
      <c r="M125" s="251"/>
      <c r="N125" s="252"/>
      <c r="O125" s="251"/>
      <c r="P125" s="243">
        <f>B121</f>
        <v>1367</v>
      </c>
      <c r="Q125" s="131" t="e">
        <f>$A121</f>
        <v>#N/A</v>
      </c>
      <c r="R125" s="131">
        <v>5</v>
      </c>
      <c r="S125" s="131" t="e">
        <f>$A121</f>
        <v>#N/A</v>
      </c>
      <c r="T125" s="236"/>
      <c r="U125" s="236"/>
      <c r="V125" s="236"/>
      <c r="W125" s="236"/>
      <c r="X125" s="236"/>
      <c r="Y125" s="236"/>
      <c r="Z125" s="236"/>
      <c r="AB125" s="86"/>
      <c r="AC125" s="131"/>
      <c r="AD125" s="131"/>
    </row>
    <row r="126" spans="1:30" s="123" customFormat="1" ht="13.2" customHeight="1" thickTop="1" x14ac:dyDescent="0.35">
      <c r="A126" s="86"/>
      <c r="B126" s="86"/>
      <c r="C126" s="241"/>
      <c r="D126" s="242"/>
      <c r="E126" s="264"/>
      <c r="F126" s="243"/>
      <c r="G126" s="243"/>
      <c r="H126" s="243"/>
      <c r="I126" s="243"/>
      <c r="J126" s="243"/>
      <c r="K126" s="243"/>
      <c r="L126" s="243"/>
      <c r="M126" s="152"/>
      <c r="N126" s="244"/>
      <c r="O126" s="152"/>
      <c r="P126" s="243"/>
      <c r="Q126" s="131"/>
      <c r="R126" s="131"/>
      <c r="S126" s="131"/>
      <c r="T126" s="236"/>
      <c r="U126" s="236"/>
      <c r="V126" s="236"/>
      <c r="W126" s="236"/>
      <c r="X126" s="236"/>
      <c r="Y126" s="236"/>
      <c r="Z126" s="236"/>
      <c r="AB126" s="86"/>
      <c r="AC126" s="131"/>
      <c r="AD126" s="131"/>
    </row>
    <row r="127" spans="1:30" s="123" customFormat="1" ht="13.2" customHeight="1" x14ac:dyDescent="0.35">
      <c r="A127" s="86"/>
      <c r="B127" s="86"/>
      <c r="C127" s="123" t="s">
        <v>71</v>
      </c>
      <c r="D127" s="244"/>
      <c r="F127" s="86"/>
      <c r="H127" s="244" t="s">
        <v>85</v>
      </c>
      <c r="J127" s="243"/>
      <c r="K127" s="243"/>
      <c r="L127" s="243"/>
      <c r="M127" s="152"/>
      <c r="N127" s="244"/>
      <c r="O127" s="152"/>
      <c r="P127" s="243"/>
      <c r="Q127" s="131"/>
      <c r="R127" s="131"/>
      <c r="S127" s="131"/>
      <c r="T127" s="236"/>
      <c r="U127" s="236"/>
      <c r="V127" s="236"/>
      <c r="W127" s="236"/>
      <c r="X127" s="236"/>
      <c r="Y127" s="236"/>
      <c r="Z127" s="236"/>
      <c r="AB127" s="86"/>
      <c r="AC127" s="131"/>
      <c r="AD127" s="131"/>
    </row>
    <row r="128" spans="1:30" s="123" customFormat="1" ht="13.2" customHeight="1" x14ac:dyDescent="0.35">
      <c r="A128" s="86"/>
      <c r="B128" s="86"/>
      <c r="D128" s="244"/>
      <c r="F128" s="86"/>
      <c r="H128" s="86"/>
      <c r="J128" s="243"/>
      <c r="K128" s="243"/>
      <c r="L128" s="243"/>
      <c r="M128" s="152"/>
      <c r="N128" s="244"/>
      <c r="O128" s="152"/>
      <c r="P128" s="243"/>
      <c r="Q128" s="131"/>
      <c r="R128" s="131"/>
      <c r="S128" s="131"/>
      <c r="T128" s="236"/>
      <c r="U128" s="236"/>
      <c r="V128" s="236"/>
      <c r="W128" s="236"/>
      <c r="X128" s="236"/>
      <c r="Y128" s="236"/>
      <c r="Z128" s="236"/>
      <c r="AB128" s="86"/>
      <c r="AC128" s="131"/>
      <c r="AD128" s="131"/>
    </row>
    <row r="129" spans="1:30" s="123" customFormat="1" ht="13.2" customHeight="1" thickBot="1" x14ac:dyDescent="0.4">
      <c r="A129" s="86"/>
      <c r="B129" s="86"/>
      <c r="C129" s="123" t="s">
        <v>72</v>
      </c>
      <c r="D129" s="244"/>
      <c r="F129" s="86"/>
      <c r="H129" s="244" t="s">
        <v>86</v>
      </c>
      <c r="J129" s="243"/>
      <c r="K129" s="243"/>
      <c r="L129" s="243"/>
      <c r="M129" s="152"/>
      <c r="N129" s="244"/>
      <c r="O129" s="152"/>
      <c r="P129" s="243"/>
      <c r="Q129" s="131"/>
      <c r="R129" s="131"/>
      <c r="S129" s="131"/>
      <c r="T129" s="236"/>
      <c r="U129" s="236"/>
      <c r="V129" s="236"/>
      <c r="W129" s="236"/>
      <c r="X129" s="236"/>
      <c r="Y129" s="236"/>
      <c r="Z129" s="236"/>
      <c r="AB129" s="86"/>
      <c r="AC129" s="131"/>
      <c r="AD129" s="131"/>
    </row>
    <row r="130" spans="1:30" s="123" customFormat="1" ht="13.2" customHeight="1" outlineLevel="1" thickTop="1" x14ac:dyDescent="0.35">
      <c r="A130" s="68">
        <v>22</v>
      </c>
      <c r="B130" s="86"/>
      <c r="C130" s="123" t="e">
        <f>VLOOKUP(B130,Уч!$A$2:$L$18,2,FALSE)</f>
        <v>#N/A</v>
      </c>
      <c r="D130" s="231" t="e">
        <f>VLOOKUP(B130,Уч!$A$2:$L$18,3,FALSE)</f>
        <v>#N/A</v>
      </c>
      <c r="E130" s="265" t="s">
        <v>28</v>
      </c>
      <c r="F130" s="266" t="e">
        <f>VLOOKUP($B130,'110 сб '!$C$17:$I$87,5,FALSE)</f>
        <v>#N/A</v>
      </c>
      <c r="G130" s="266" t="e">
        <f>VLOOKUP($B130,высота!$C$17:$AF$42,17,FALSE)</f>
        <v>#N/A</v>
      </c>
      <c r="H130" s="267" t="e">
        <f>VLOOKUP($B130,ядро!$C$17:$K$43,8,FALSE)</f>
        <v>#N/A</v>
      </c>
      <c r="I130" s="267" t="e">
        <f>VLOOKUP($B130,'2_р'!$C$17:$I$68,5,FALSE)</f>
        <v>#N/A</v>
      </c>
      <c r="J130" s="266" t="e">
        <f>VLOOKUP($B130,Дл_р!$C$17:$O$43,11,FALSE)</f>
        <v>#N/A</v>
      </c>
      <c r="K130" s="266" t="e">
        <f>VLOOKUP($B130,К_р!$C$18:$K$31,8,FALSE)</f>
        <v>#N/A</v>
      </c>
      <c r="L130" s="268" t="e">
        <f>VLOOKUP($B130,'8_р'!$C$17:$H$77,5,FALSE)</f>
        <v>#N/A</v>
      </c>
      <c r="M130" s="244" t="s">
        <v>78</v>
      </c>
      <c r="N130" s="86"/>
      <c r="O130" s="86"/>
      <c r="P130" s="86"/>
      <c r="Q130" s="131">
        <f>$A130</f>
        <v>22</v>
      </c>
      <c r="R130" s="131">
        <v>1</v>
      </c>
      <c r="S130" s="131"/>
      <c r="T130" s="236"/>
      <c r="U130" s="236"/>
      <c r="V130" s="236"/>
      <c r="W130" s="236"/>
      <c r="X130" s="236"/>
      <c r="Y130" s="236"/>
      <c r="Z130" s="236"/>
      <c r="AB130" s="86"/>
    </row>
    <row r="131" spans="1:30" s="123" customFormat="1" ht="13.2" customHeight="1" outlineLevel="1" x14ac:dyDescent="0.35">
      <c r="A131" s="86"/>
      <c r="B131" s="86"/>
      <c r="C131" s="123" t="e">
        <f>VLOOKUP(B130,Уч!$A$2:$L$18,5,FALSE)</f>
        <v>#N/A</v>
      </c>
      <c r="D131" s="231" t="e">
        <f>VLOOKUP(B130,Уч!$A$2:$L$18,4,FALSE)</f>
        <v>#N/A</v>
      </c>
      <c r="E131" s="269" t="s">
        <v>70</v>
      </c>
      <c r="F131" s="270" t="e">
        <f>VLOOKUP($B130,'110 сб '!$C$17:$I$87,7,FALSE)</f>
        <v>#N/A</v>
      </c>
      <c r="G131" s="270" t="e">
        <f>VLOOKUP($B130,высота!$C$17:$AF$42,18,FALSE)</f>
        <v>#N/A</v>
      </c>
      <c r="H131" s="271" t="e">
        <f>VLOOKUP($B130,ядро!$C$17:$K$43,9,FALSE)</f>
        <v>#N/A</v>
      </c>
      <c r="I131" s="271" t="e">
        <f>VLOOKUP($B130,'2_р'!$C$17:$I$68,7,FALSE)</f>
        <v>#N/A</v>
      </c>
      <c r="J131" s="270" t="e">
        <f>VLOOKUP($B130,Дл_р!$C$17:$O$43,13,FALSE)</f>
        <v>#N/A</v>
      </c>
      <c r="K131" s="270" t="e">
        <f>VLOOKUP($B130,К_р!$C$18:$K$31,9,FALSE)</f>
        <v>#N/A</v>
      </c>
      <c r="L131" s="272" t="e">
        <f>VLOOKUP($B130,'8_р'!$C$17:$H$77,6,FALSE)</f>
        <v>#N/A</v>
      </c>
      <c r="M131" s="152"/>
      <c r="N131" s="244"/>
      <c r="O131" s="152"/>
      <c r="P131" s="243"/>
      <c r="Q131" s="131">
        <f>$A130</f>
        <v>22</v>
      </c>
      <c r="R131" s="131">
        <v>2</v>
      </c>
      <c r="S131" s="131"/>
      <c r="T131" s="236"/>
      <c r="U131" s="236"/>
      <c r="V131" s="236"/>
      <c r="W131" s="236"/>
      <c r="X131" s="236"/>
      <c r="Y131" s="236"/>
      <c r="Z131" s="236"/>
      <c r="AB131" s="86"/>
    </row>
    <row r="132" spans="1:30" s="123" customFormat="1" ht="13.2" customHeight="1" outlineLevel="1" x14ac:dyDescent="0.35">
      <c r="A132" s="86"/>
      <c r="B132" s="86"/>
      <c r="C132" s="241" t="e">
        <f>VLOOKUP(B130,Уч!$A$2:$L$18,7,FALSE)</f>
        <v>#N/A</v>
      </c>
      <c r="D132" s="242"/>
      <c r="E132" s="269" t="s">
        <v>77</v>
      </c>
      <c r="F132" s="270" t="e">
        <f>F131</f>
        <v>#N/A</v>
      </c>
      <c r="G132" s="270" t="e">
        <f t="shared" ref="G132:L132" si="138">F132+G131</f>
        <v>#N/A</v>
      </c>
      <c r="H132" s="271" t="e">
        <f t="shared" si="138"/>
        <v>#N/A</v>
      </c>
      <c r="I132" s="271" t="e">
        <f t="shared" si="138"/>
        <v>#N/A</v>
      </c>
      <c r="J132" s="270" t="e">
        <f t="shared" si="138"/>
        <v>#N/A</v>
      </c>
      <c r="K132" s="270" t="e">
        <f t="shared" si="138"/>
        <v>#N/A</v>
      </c>
      <c r="L132" s="272" t="e">
        <f t="shared" si="138"/>
        <v>#N/A</v>
      </c>
      <c r="M132" s="152"/>
      <c r="N132" s="244"/>
      <c r="O132" s="152"/>
      <c r="P132" s="243"/>
      <c r="Q132" s="131">
        <f>$A130</f>
        <v>22</v>
      </c>
      <c r="R132" s="131">
        <v>3</v>
      </c>
      <c r="S132" s="131"/>
      <c r="T132" s="152" t="e">
        <f t="shared" ref="T132:Z132" si="139">F132</f>
        <v>#N/A</v>
      </c>
      <c r="U132" s="152" t="e">
        <f t="shared" si="139"/>
        <v>#N/A</v>
      </c>
      <c r="V132" s="152" t="e">
        <f t="shared" si="139"/>
        <v>#N/A</v>
      </c>
      <c r="W132" s="152" t="e">
        <f t="shared" si="139"/>
        <v>#N/A</v>
      </c>
      <c r="X132" s="152" t="e">
        <f t="shared" si="139"/>
        <v>#N/A</v>
      </c>
      <c r="Y132" s="152" t="e">
        <f t="shared" si="139"/>
        <v>#N/A</v>
      </c>
      <c r="Z132" s="152" t="e">
        <f t="shared" si="139"/>
        <v>#N/A</v>
      </c>
      <c r="AB132" s="86"/>
    </row>
    <row r="133" spans="1:30" s="123" customFormat="1" ht="13.2" customHeight="1" outlineLevel="1" thickBot="1" x14ac:dyDescent="0.4">
      <c r="A133" s="245"/>
      <c r="B133" s="245"/>
      <c r="C133" s="246" t="e">
        <f>VLOOKUP(B130,Уч!$A$2:$L$18,11,FALSE)</f>
        <v>#N/A</v>
      </c>
      <c r="D133" s="247"/>
      <c r="E133" s="273" t="s">
        <v>37</v>
      </c>
      <c r="F133" s="274" t="e">
        <f>RANK(F132,$T$19:$T$95,0)</f>
        <v>#N/A</v>
      </c>
      <c r="G133" s="274" t="e">
        <f>RANK(G132,$U$19:$U$95,0)</f>
        <v>#N/A</v>
      </c>
      <c r="H133" s="275" t="e">
        <f>RANK(H132,$V$19:$V$95,0)</f>
        <v>#N/A</v>
      </c>
      <c r="I133" s="275" t="e">
        <f>RANK(I132,$W$19:$W$95,0)</f>
        <v>#N/A</v>
      </c>
      <c r="J133" s="274" t="e">
        <f>RANK(J132,$X$19:$X$95,0)</f>
        <v>#N/A</v>
      </c>
      <c r="K133" s="274" t="e">
        <f>RANK(K132,$Y$19:$Y$95,0)</f>
        <v>#N/A</v>
      </c>
      <c r="L133" s="276" t="e">
        <f>RANK(L132,$Z$19:$Z$95,0)</f>
        <v>#N/A</v>
      </c>
      <c r="M133" s="251"/>
      <c r="N133" s="252"/>
      <c r="O133" s="251"/>
      <c r="P133" s="243"/>
      <c r="Q133" s="131">
        <f>$A130</f>
        <v>22</v>
      </c>
      <c r="R133" s="131">
        <v>4</v>
      </c>
      <c r="S133" s="131"/>
      <c r="T133" s="236"/>
      <c r="U133" s="236"/>
      <c r="V133" s="236"/>
      <c r="W133" s="236"/>
      <c r="X133" s="236"/>
      <c r="Y133" s="236"/>
      <c r="Z133" s="236"/>
      <c r="AB133" s="86"/>
    </row>
    <row r="134" spans="1:30" s="123" customFormat="1" ht="13.2" customHeight="1" outlineLevel="1" thickTop="1" x14ac:dyDescent="0.35">
      <c r="A134" s="68">
        <v>23</v>
      </c>
      <c r="B134" s="86"/>
      <c r="C134" s="123" t="e">
        <f>VLOOKUP(B134,Уч!$A$2:$L$18,2,FALSE)</f>
        <v>#N/A</v>
      </c>
      <c r="D134" s="231" t="e">
        <f>VLOOKUP(B134,Уч!$A$2:$L$18,3,FALSE)</f>
        <v>#N/A</v>
      </c>
      <c r="E134" s="265" t="s">
        <v>28</v>
      </c>
      <c r="F134" s="266" t="e">
        <f>VLOOKUP($B134,'110 сб '!$C$17:$I$87,5,FALSE)</f>
        <v>#N/A</v>
      </c>
      <c r="G134" s="266" t="e">
        <f>VLOOKUP($B134,высота!$C$17:$AF$42,17,FALSE)</f>
        <v>#N/A</v>
      </c>
      <c r="H134" s="267" t="e">
        <f>VLOOKUP($B134,ядро!$C$17:$K$43,8,FALSE)</f>
        <v>#N/A</v>
      </c>
      <c r="I134" s="267" t="e">
        <f>VLOOKUP($B134,'2_р'!$C$17:$I$68,5,FALSE)</f>
        <v>#N/A</v>
      </c>
      <c r="J134" s="266" t="e">
        <f>VLOOKUP($B134,Дл_р!$C$17:$O$43,11,FALSE)</f>
        <v>#N/A</v>
      </c>
      <c r="K134" s="266" t="e">
        <f>VLOOKUP($B134,К_р!$C$18:$K$31,8,FALSE)</f>
        <v>#N/A</v>
      </c>
      <c r="L134" s="268" t="e">
        <f>VLOOKUP($B134,'8_р'!$C$17:$H$77,5,FALSE)</f>
        <v>#N/A</v>
      </c>
      <c r="M134" s="244" t="s">
        <v>78</v>
      </c>
      <c r="O134" s="86"/>
      <c r="P134" s="86"/>
      <c r="Q134" s="131">
        <f>$A134</f>
        <v>23</v>
      </c>
      <c r="R134" s="131">
        <v>1</v>
      </c>
      <c r="S134" s="131"/>
      <c r="T134" s="236"/>
      <c r="U134" s="236"/>
      <c r="V134" s="236"/>
      <c r="W134" s="236"/>
      <c r="X134" s="236"/>
      <c r="Y134" s="236"/>
      <c r="Z134" s="236"/>
      <c r="AB134" s="86"/>
    </row>
    <row r="135" spans="1:30" s="123" customFormat="1" ht="13.2" customHeight="1" outlineLevel="1" x14ac:dyDescent="0.35">
      <c r="A135" s="86"/>
      <c r="B135" s="86"/>
      <c r="C135" s="123" t="e">
        <f>VLOOKUP(B134,Уч!$A$2:$L$18,5,FALSE)</f>
        <v>#N/A</v>
      </c>
      <c r="D135" s="231" t="e">
        <f>VLOOKUP(B134,Уч!$A$2:$L$18,4,FALSE)</f>
        <v>#N/A</v>
      </c>
      <c r="E135" s="269" t="s">
        <v>70</v>
      </c>
      <c r="F135" s="270" t="e">
        <f>VLOOKUP($B134,'110 сб '!$C$17:$I$87,7,FALSE)</f>
        <v>#N/A</v>
      </c>
      <c r="G135" s="270" t="e">
        <f>VLOOKUP($B134,высота!$C$17:$AF$42,18,FALSE)</f>
        <v>#N/A</v>
      </c>
      <c r="H135" s="271" t="e">
        <f>VLOOKUP($B134,ядро!$C$17:$K$43,9,FALSE)</f>
        <v>#N/A</v>
      </c>
      <c r="I135" s="271" t="e">
        <f>VLOOKUP($B134,'2_р'!$C$17:$I$68,7,FALSE)</f>
        <v>#N/A</v>
      </c>
      <c r="J135" s="270" t="e">
        <f>VLOOKUP($B134,Дл_р!$C$17:$O$43,13,FALSE)</f>
        <v>#N/A</v>
      </c>
      <c r="K135" s="270" t="e">
        <f>VLOOKUP($B134,К_р!$C$18:$K$31,9,FALSE)</f>
        <v>#N/A</v>
      </c>
      <c r="L135" s="272" t="e">
        <f>VLOOKUP($B134,'8_р'!$C$17:$H$77,6,FALSE)</f>
        <v>#N/A</v>
      </c>
      <c r="M135" s="152"/>
      <c r="N135" s="244"/>
      <c r="O135" s="152"/>
      <c r="P135" s="243"/>
      <c r="Q135" s="131">
        <f>$A134</f>
        <v>23</v>
      </c>
      <c r="R135" s="131">
        <v>2</v>
      </c>
      <c r="S135" s="131"/>
      <c r="T135" s="236"/>
      <c r="U135" s="236"/>
      <c r="V135" s="236"/>
      <c r="W135" s="236"/>
      <c r="X135" s="236"/>
      <c r="Y135" s="236"/>
      <c r="Z135" s="236"/>
      <c r="AB135" s="86"/>
    </row>
    <row r="136" spans="1:30" s="123" customFormat="1" ht="13.2" customHeight="1" outlineLevel="1" x14ac:dyDescent="0.35">
      <c r="A136" s="86"/>
      <c r="B136" s="86"/>
      <c r="C136" s="241" t="e">
        <f>VLOOKUP(B134,Уч!$A$2:$L$18,7,FALSE)</f>
        <v>#N/A</v>
      </c>
      <c r="D136" s="242"/>
      <c r="E136" s="269" t="s">
        <v>77</v>
      </c>
      <c r="F136" s="270" t="e">
        <f>F135</f>
        <v>#N/A</v>
      </c>
      <c r="G136" s="270" t="e">
        <f t="shared" ref="G136:L136" si="140">F136+G135</f>
        <v>#N/A</v>
      </c>
      <c r="H136" s="271" t="e">
        <f t="shared" si="140"/>
        <v>#N/A</v>
      </c>
      <c r="I136" s="271" t="e">
        <f t="shared" si="140"/>
        <v>#N/A</v>
      </c>
      <c r="J136" s="270" t="e">
        <f t="shared" si="140"/>
        <v>#N/A</v>
      </c>
      <c r="K136" s="270" t="e">
        <f t="shared" si="140"/>
        <v>#N/A</v>
      </c>
      <c r="L136" s="272" t="e">
        <f t="shared" si="140"/>
        <v>#N/A</v>
      </c>
      <c r="M136" s="152"/>
      <c r="N136" s="244"/>
      <c r="O136" s="152"/>
      <c r="P136" s="243"/>
      <c r="Q136" s="131">
        <f>$A134</f>
        <v>23</v>
      </c>
      <c r="R136" s="131">
        <v>3</v>
      </c>
      <c r="S136" s="131"/>
      <c r="T136" s="152" t="e">
        <f t="shared" ref="T136:Z136" si="141">F136</f>
        <v>#N/A</v>
      </c>
      <c r="U136" s="152" t="e">
        <f t="shared" si="141"/>
        <v>#N/A</v>
      </c>
      <c r="V136" s="152" t="e">
        <f t="shared" si="141"/>
        <v>#N/A</v>
      </c>
      <c r="W136" s="152" t="e">
        <f t="shared" si="141"/>
        <v>#N/A</v>
      </c>
      <c r="X136" s="152" t="e">
        <f t="shared" si="141"/>
        <v>#N/A</v>
      </c>
      <c r="Y136" s="152" t="e">
        <f t="shared" si="141"/>
        <v>#N/A</v>
      </c>
      <c r="Z136" s="152" t="e">
        <f t="shared" si="141"/>
        <v>#N/A</v>
      </c>
      <c r="AB136" s="86"/>
    </row>
    <row r="137" spans="1:30" s="123" customFormat="1" ht="13.2" customHeight="1" outlineLevel="1" thickBot="1" x14ac:dyDescent="0.4">
      <c r="A137" s="245"/>
      <c r="B137" s="245"/>
      <c r="C137" s="246" t="e">
        <f>VLOOKUP(B134,Уч!$A$2:$L$18,11,FALSE)</f>
        <v>#N/A</v>
      </c>
      <c r="D137" s="247"/>
      <c r="E137" s="273" t="s">
        <v>37</v>
      </c>
      <c r="F137" s="274" t="e">
        <f>RANK(F136,$T$19:$T$95,0)</f>
        <v>#N/A</v>
      </c>
      <c r="G137" s="274" t="e">
        <f>RANK(G136,$U$19:$U$95,0)</f>
        <v>#N/A</v>
      </c>
      <c r="H137" s="275" t="e">
        <f>RANK(H136,$V$19:$V$95,0)</f>
        <v>#N/A</v>
      </c>
      <c r="I137" s="275" t="e">
        <f>RANK(I136,$W$19:$W$95,0)</f>
        <v>#N/A</v>
      </c>
      <c r="J137" s="274" t="e">
        <f>RANK(J136,$X$19:$X$95,0)</f>
        <v>#N/A</v>
      </c>
      <c r="K137" s="274" t="e">
        <f>RANK(K136,$Y$19:$Y$95,0)</f>
        <v>#N/A</v>
      </c>
      <c r="L137" s="276" t="e">
        <f>RANK(L136,$Z$19:$Z$95,0)</f>
        <v>#N/A</v>
      </c>
      <c r="M137" s="251"/>
      <c r="N137" s="252"/>
      <c r="O137" s="251"/>
      <c r="P137" s="243"/>
      <c r="Q137" s="131">
        <f>$A134</f>
        <v>23</v>
      </c>
      <c r="R137" s="131">
        <v>4</v>
      </c>
      <c r="S137" s="131"/>
      <c r="T137" s="236"/>
      <c r="U137" s="236"/>
      <c r="V137" s="236"/>
      <c r="W137" s="236"/>
      <c r="X137" s="236"/>
      <c r="Y137" s="236"/>
      <c r="Z137" s="236"/>
      <c r="AB137" s="86"/>
    </row>
    <row r="138" spans="1:30" s="123" customFormat="1" ht="13.2" customHeight="1" collapsed="1" thickTop="1" x14ac:dyDescent="0.35">
      <c r="A138" s="86"/>
      <c r="B138" s="86"/>
      <c r="C138" s="241"/>
      <c r="D138" s="242"/>
      <c r="E138" s="264"/>
      <c r="F138" s="243"/>
      <c r="G138" s="243"/>
      <c r="H138" s="243"/>
      <c r="I138" s="243"/>
      <c r="J138" s="243"/>
      <c r="K138" s="243"/>
      <c r="L138" s="243"/>
      <c r="M138" s="152"/>
      <c r="N138" s="244"/>
      <c r="O138" s="152"/>
      <c r="P138" s="243"/>
      <c r="Q138" s="131"/>
      <c r="R138" s="131"/>
      <c r="S138" s="131"/>
      <c r="T138" s="236"/>
      <c r="U138" s="236"/>
      <c r="V138" s="236"/>
      <c r="W138" s="236"/>
      <c r="X138" s="236"/>
      <c r="Y138" s="236"/>
      <c r="Z138" s="236"/>
      <c r="AB138" s="86"/>
    </row>
    <row r="139" spans="1:30" s="123" customFormat="1" ht="13.2" customHeight="1" x14ac:dyDescent="0.35">
      <c r="A139" s="86"/>
      <c r="B139" s="86"/>
      <c r="C139" s="241"/>
      <c r="D139" s="242"/>
      <c r="E139" s="264"/>
      <c r="F139" s="243"/>
      <c r="G139" s="243"/>
      <c r="H139" s="243"/>
      <c r="I139" s="243"/>
      <c r="J139" s="243"/>
      <c r="K139" s="243"/>
      <c r="L139" s="243"/>
      <c r="M139" s="152"/>
      <c r="N139" s="244"/>
      <c r="O139" s="152"/>
      <c r="P139" s="243"/>
      <c r="Q139" s="131"/>
      <c r="R139" s="131"/>
      <c r="S139" s="131"/>
      <c r="T139" s="236"/>
      <c r="U139" s="236"/>
      <c r="V139" s="236"/>
      <c r="W139" s="236"/>
      <c r="X139" s="236"/>
      <c r="Y139" s="236"/>
      <c r="Z139" s="236"/>
      <c r="AB139" s="86"/>
    </row>
    <row r="140" spans="1:30" s="123" customFormat="1" ht="13.2" customHeight="1" x14ac:dyDescent="0.35">
      <c r="A140" s="86"/>
      <c r="B140" s="86"/>
      <c r="C140" s="241"/>
      <c r="D140" s="242"/>
      <c r="E140" s="264"/>
      <c r="F140" s="243"/>
      <c r="G140" s="243"/>
      <c r="H140" s="243"/>
      <c r="I140" s="243"/>
      <c r="J140" s="243"/>
      <c r="K140" s="243"/>
      <c r="L140" s="243"/>
      <c r="M140" s="152"/>
      <c r="N140" s="244"/>
      <c r="O140" s="152"/>
      <c r="P140" s="243"/>
      <c r="Q140" s="131"/>
      <c r="R140" s="131"/>
      <c r="S140" s="131"/>
      <c r="T140" s="236"/>
      <c r="U140" s="236"/>
      <c r="V140" s="236"/>
      <c r="W140" s="236"/>
      <c r="X140" s="236"/>
      <c r="Y140" s="236"/>
      <c r="Z140" s="236"/>
      <c r="AB140" s="86"/>
    </row>
    <row r="141" spans="1:30" s="123" customFormat="1" ht="13.2" customHeight="1" x14ac:dyDescent="0.35">
      <c r="A141" s="86"/>
      <c r="B141" s="86"/>
      <c r="C141" s="241"/>
      <c r="D141" s="242"/>
      <c r="E141" s="264"/>
      <c r="F141" s="243"/>
      <c r="G141" s="243"/>
      <c r="H141" s="243"/>
      <c r="I141" s="243"/>
      <c r="J141" s="243"/>
      <c r="K141" s="243"/>
      <c r="L141" s="243"/>
      <c r="M141" s="152"/>
      <c r="N141" s="244"/>
      <c r="O141" s="152"/>
      <c r="P141" s="243"/>
      <c r="Q141" s="131"/>
      <c r="R141" s="131"/>
      <c r="S141" s="131"/>
      <c r="T141" s="236"/>
      <c r="U141" s="236"/>
      <c r="V141" s="236"/>
      <c r="W141" s="236"/>
      <c r="X141" s="236"/>
      <c r="Y141" s="236"/>
      <c r="Z141" s="236"/>
      <c r="AB141" s="86"/>
    </row>
    <row r="142" spans="1:30" s="123" customFormat="1" ht="13.2" customHeight="1" x14ac:dyDescent="0.35">
      <c r="A142" s="86"/>
      <c r="B142" s="86"/>
      <c r="C142" s="241"/>
      <c r="D142" s="242"/>
      <c r="E142" s="264"/>
      <c r="F142" s="243"/>
      <c r="G142" s="243"/>
      <c r="H142" s="243"/>
      <c r="I142" s="243"/>
      <c r="J142" s="243"/>
      <c r="K142" s="243"/>
      <c r="L142" s="243"/>
      <c r="M142" s="152"/>
      <c r="N142" s="244"/>
      <c r="O142" s="152"/>
      <c r="P142" s="243"/>
      <c r="Q142" s="131"/>
      <c r="R142" s="131"/>
      <c r="S142" s="131"/>
      <c r="T142" s="236"/>
      <c r="U142" s="236"/>
      <c r="V142" s="236"/>
      <c r="W142" s="236"/>
      <c r="X142" s="236"/>
      <c r="Y142" s="236"/>
      <c r="Z142" s="236"/>
      <c r="AB142" s="86"/>
    </row>
    <row r="143" spans="1:30" s="123" customFormat="1" ht="13.2" customHeight="1" x14ac:dyDescent="0.35">
      <c r="A143" s="86"/>
      <c r="B143" s="86"/>
      <c r="C143" s="241"/>
      <c r="D143" s="242"/>
      <c r="E143" s="264"/>
      <c r="F143" s="243"/>
      <c r="G143" s="243"/>
      <c r="H143" s="243"/>
      <c r="I143" s="243"/>
      <c r="J143" s="243"/>
      <c r="K143" s="243"/>
      <c r="L143" s="243"/>
      <c r="M143" s="152"/>
      <c r="N143" s="244"/>
      <c r="O143" s="152"/>
      <c r="P143" s="243"/>
      <c r="Q143" s="131"/>
      <c r="R143" s="131"/>
      <c r="S143" s="131"/>
      <c r="T143" s="236"/>
      <c r="U143" s="236"/>
      <c r="V143" s="236"/>
      <c r="W143" s="236"/>
      <c r="X143" s="236"/>
      <c r="Y143" s="236"/>
      <c r="Z143" s="236"/>
      <c r="AB143" s="86"/>
    </row>
    <row r="144" spans="1:30" s="123" customFormat="1" ht="13.2" customHeight="1" x14ac:dyDescent="0.35">
      <c r="A144" s="86"/>
      <c r="B144" s="86"/>
      <c r="C144" s="241"/>
      <c r="D144" s="242"/>
      <c r="E144" s="264"/>
      <c r="F144" s="243"/>
      <c r="G144" s="243"/>
      <c r="H144" s="243"/>
      <c r="I144" s="243"/>
      <c r="J144" s="243"/>
      <c r="K144" s="243"/>
      <c r="L144" s="243"/>
      <c r="M144" s="152"/>
      <c r="N144" s="244"/>
      <c r="O144" s="152"/>
      <c r="P144" s="243"/>
      <c r="Q144" s="131"/>
      <c r="R144" s="131"/>
      <c r="S144" s="131"/>
      <c r="T144" s="236"/>
      <c r="U144" s="236"/>
      <c r="V144" s="236"/>
      <c r="W144" s="236"/>
      <c r="X144" s="236"/>
      <c r="Y144" s="236"/>
      <c r="Z144" s="236"/>
      <c r="AB144" s="86"/>
    </row>
    <row r="145" spans="1:28" s="123" customFormat="1" ht="13.2" customHeight="1" x14ac:dyDescent="0.35">
      <c r="A145" s="86"/>
      <c r="B145" s="86"/>
      <c r="C145" s="241"/>
      <c r="D145" s="242"/>
      <c r="E145" s="264"/>
      <c r="F145" s="243"/>
      <c r="G145" s="243"/>
      <c r="H145" s="243"/>
      <c r="I145" s="243"/>
      <c r="J145" s="243"/>
      <c r="K145" s="243"/>
      <c r="L145" s="243"/>
      <c r="M145" s="152"/>
      <c r="N145" s="244"/>
      <c r="O145" s="152"/>
      <c r="P145" s="243"/>
      <c r="Q145" s="131"/>
      <c r="R145" s="131"/>
      <c r="S145" s="131"/>
      <c r="T145" s="236"/>
      <c r="U145" s="236"/>
      <c r="V145" s="236"/>
      <c r="W145" s="236"/>
      <c r="X145" s="236"/>
      <c r="Y145" s="236"/>
      <c r="Z145" s="236"/>
      <c r="AB145" s="86"/>
    </row>
    <row r="146" spans="1:28" s="123" customFormat="1" ht="13.2" customHeight="1" x14ac:dyDescent="0.35">
      <c r="A146" s="86"/>
      <c r="B146" s="86"/>
      <c r="C146" s="241"/>
      <c r="D146" s="242"/>
      <c r="E146" s="264"/>
      <c r="F146" s="243"/>
      <c r="G146" s="243"/>
      <c r="H146" s="243"/>
      <c r="I146" s="243"/>
      <c r="J146" s="243"/>
      <c r="K146" s="243"/>
      <c r="L146" s="243"/>
      <c r="M146" s="152"/>
      <c r="N146" s="244"/>
      <c r="O146" s="152"/>
      <c r="P146" s="243"/>
      <c r="Q146" s="131"/>
      <c r="R146" s="131"/>
      <c r="S146" s="131"/>
      <c r="T146" s="236"/>
      <c r="U146" s="236"/>
      <c r="V146" s="236"/>
      <c r="W146" s="236"/>
      <c r="X146" s="236"/>
      <c r="Y146" s="236"/>
      <c r="Z146" s="236"/>
      <c r="AB146" s="86"/>
    </row>
    <row r="147" spans="1:28" s="123" customFormat="1" ht="13.2" customHeight="1" x14ac:dyDescent="0.35">
      <c r="A147" s="86"/>
      <c r="B147" s="86"/>
      <c r="C147" s="241"/>
      <c r="D147" s="242"/>
      <c r="E147" s="264"/>
      <c r="F147" s="243"/>
      <c r="G147" s="243"/>
      <c r="H147" s="243"/>
      <c r="I147" s="243"/>
      <c r="J147" s="243"/>
      <c r="K147" s="243"/>
      <c r="L147" s="243"/>
      <c r="M147" s="152"/>
      <c r="N147" s="244"/>
      <c r="O147" s="152"/>
      <c r="P147" s="243"/>
      <c r="Q147" s="131"/>
      <c r="R147" s="131"/>
      <c r="S147" s="131"/>
      <c r="T147" s="236"/>
      <c r="U147" s="236"/>
      <c r="V147" s="236"/>
      <c r="W147" s="236"/>
      <c r="X147" s="236"/>
      <c r="Y147" s="236"/>
      <c r="Z147" s="236"/>
      <c r="AB147" s="86"/>
    </row>
    <row r="148" spans="1:28" s="123" customFormat="1" ht="13.2" customHeight="1" x14ac:dyDescent="0.35">
      <c r="A148" s="86"/>
      <c r="B148" s="86"/>
      <c r="C148" s="241"/>
      <c r="D148" s="242"/>
      <c r="E148" s="264"/>
      <c r="F148" s="243"/>
      <c r="G148" s="243"/>
      <c r="H148" s="243"/>
      <c r="I148" s="243"/>
      <c r="J148" s="243"/>
      <c r="K148" s="243"/>
      <c r="L148" s="243"/>
      <c r="M148" s="152"/>
      <c r="N148" s="244"/>
      <c r="O148" s="152"/>
      <c r="P148" s="243"/>
      <c r="Q148" s="131"/>
      <c r="R148" s="131"/>
      <c r="S148" s="131"/>
      <c r="T148" s="236"/>
      <c r="U148" s="236"/>
      <c r="V148" s="236"/>
      <c r="W148" s="236"/>
      <c r="X148" s="236"/>
      <c r="Y148" s="236"/>
      <c r="Z148" s="236"/>
      <c r="AB148" s="86"/>
    </row>
    <row r="149" spans="1:28" s="123" customFormat="1" ht="13.2" customHeight="1" x14ac:dyDescent="0.35">
      <c r="A149" s="86"/>
      <c r="B149" s="86"/>
      <c r="C149" s="241"/>
      <c r="D149" s="242"/>
      <c r="E149" s="264"/>
      <c r="F149" s="243"/>
      <c r="G149" s="243"/>
      <c r="H149" s="243"/>
      <c r="I149" s="243"/>
      <c r="J149" s="243"/>
      <c r="K149" s="243"/>
      <c r="L149" s="243"/>
      <c r="M149" s="152"/>
      <c r="N149" s="244"/>
      <c r="O149" s="152"/>
      <c r="P149" s="243"/>
      <c r="Q149" s="131"/>
      <c r="R149" s="131"/>
      <c r="S149" s="131"/>
      <c r="T149" s="236"/>
      <c r="U149" s="236"/>
      <c r="V149" s="236"/>
      <c r="W149" s="236"/>
      <c r="X149" s="236"/>
      <c r="Y149" s="236"/>
      <c r="Z149" s="236"/>
      <c r="AB149" s="86"/>
    </row>
    <row r="150" spans="1:28" s="123" customFormat="1" ht="13.2" customHeight="1" x14ac:dyDescent="0.35">
      <c r="A150" s="86"/>
      <c r="B150" s="86"/>
      <c r="C150" s="241"/>
      <c r="D150" s="242"/>
      <c r="E150" s="264"/>
      <c r="F150" s="243"/>
      <c r="G150" s="243"/>
      <c r="H150" s="243"/>
      <c r="I150" s="243"/>
      <c r="J150" s="243"/>
      <c r="K150" s="243"/>
      <c r="L150" s="243"/>
      <c r="M150" s="152"/>
      <c r="N150" s="244"/>
      <c r="O150" s="152"/>
      <c r="P150" s="243"/>
      <c r="Q150" s="131"/>
      <c r="R150" s="131"/>
      <c r="S150" s="131"/>
      <c r="T150" s="236"/>
      <c r="U150" s="236"/>
      <c r="V150" s="236"/>
      <c r="W150" s="236"/>
      <c r="X150" s="236"/>
      <c r="Y150" s="236"/>
      <c r="Z150" s="236"/>
      <c r="AB150" s="86"/>
    </row>
    <row r="151" spans="1:28" s="123" customFormat="1" ht="13.2" customHeight="1" x14ac:dyDescent="0.35">
      <c r="A151" s="86"/>
      <c r="B151" s="86"/>
      <c r="C151" s="241"/>
      <c r="D151" s="242"/>
      <c r="E151" s="264"/>
      <c r="F151" s="243"/>
      <c r="G151" s="243"/>
      <c r="H151" s="243"/>
      <c r="I151" s="243"/>
      <c r="J151" s="243"/>
      <c r="K151" s="243"/>
      <c r="L151" s="243"/>
      <c r="M151" s="152"/>
      <c r="N151" s="244"/>
      <c r="O151" s="152"/>
      <c r="P151" s="243"/>
      <c r="Q151" s="131"/>
      <c r="R151" s="131"/>
      <c r="S151" s="131"/>
      <c r="T151" s="236"/>
      <c r="U151" s="236"/>
      <c r="V151" s="236"/>
      <c r="W151" s="236"/>
      <c r="X151" s="236"/>
      <c r="Y151" s="236"/>
      <c r="Z151" s="236"/>
      <c r="AB151" s="86"/>
    </row>
    <row r="152" spans="1:28" s="123" customFormat="1" ht="13.2" customHeight="1" x14ac:dyDescent="0.35">
      <c r="A152" s="86"/>
      <c r="B152" s="86"/>
      <c r="C152" s="241"/>
      <c r="D152" s="242"/>
      <c r="E152" s="264"/>
      <c r="F152" s="243"/>
      <c r="G152" s="243"/>
      <c r="H152" s="243"/>
      <c r="I152" s="243"/>
      <c r="J152" s="243"/>
      <c r="K152" s="243"/>
      <c r="L152" s="243"/>
      <c r="M152" s="152"/>
      <c r="N152" s="244"/>
      <c r="O152" s="152"/>
      <c r="P152" s="243"/>
      <c r="Q152" s="131"/>
      <c r="R152" s="131"/>
      <c r="S152" s="131"/>
      <c r="T152" s="236"/>
      <c r="U152" s="236"/>
      <c r="V152" s="236"/>
      <c r="W152" s="236"/>
      <c r="X152" s="236"/>
      <c r="Y152" s="236"/>
      <c r="Z152" s="236"/>
      <c r="AB152" s="86"/>
    </row>
    <row r="153" spans="1:28" s="123" customFormat="1" ht="13.2" customHeight="1" x14ac:dyDescent="0.35">
      <c r="A153" s="86"/>
      <c r="B153" s="86"/>
      <c r="C153" s="241"/>
      <c r="D153" s="242"/>
      <c r="E153" s="264"/>
      <c r="F153" s="243"/>
      <c r="G153" s="243"/>
      <c r="H153" s="243"/>
      <c r="I153" s="243"/>
      <c r="J153" s="243"/>
      <c r="K153" s="243"/>
      <c r="L153" s="243"/>
      <c r="M153" s="152"/>
      <c r="N153" s="244"/>
      <c r="O153" s="152"/>
      <c r="P153" s="243"/>
      <c r="Q153" s="131"/>
      <c r="R153" s="131"/>
      <c r="S153" s="131"/>
      <c r="T153" s="236"/>
      <c r="U153" s="236"/>
      <c r="V153" s="236"/>
      <c r="W153" s="236"/>
      <c r="X153" s="236"/>
      <c r="Y153" s="236"/>
      <c r="Z153" s="236"/>
      <c r="AB153" s="86"/>
    </row>
    <row r="154" spans="1:28" s="123" customFormat="1" ht="13.2" customHeight="1" x14ac:dyDescent="0.35">
      <c r="A154" s="86"/>
      <c r="B154" s="86"/>
      <c r="C154" s="241"/>
      <c r="D154" s="242"/>
      <c r="E154" s="264"/>
      <c r="F154" s="243"/>
      <c r="G154" s="243"/>
      <c r="H154" s="243"/>
      <c r="I154" s="243"/>
      <c r="J154" s="243"/>
      <c r="K154" s="243"/>
      <c r="L154" s="243"/>
      <c r="M154" s="152"/>
      <c r="N154" s="244"/>
      <c r="O154" s="152"/>
      <c r="P154" s="243"/>
      <c r="Q154" s="131"/>
      <c r="R154" s="131"/>
      <c r="S154" s="131"/>
      <c r="T154" s="236"/>
      <c r="U154" s="236"/>
      <c r="V154" s="236"/>
      <c r="W154" s="236"/>
      <c r="X154" s="236"/>
      <c r="Y154" s="236"/>
      <c r="Z154" s="236"/>
      <c r="AB154" s="86"/>
    </row>
    <row r="155" spans="1:28" s="123" customFormat="1" ht="13.2" customHeight="1" x14ac:dyDescent="0.35">
      <c r="A155" s="86"/>
      <c r="B155" s="86"/>
      <c r="C155" s="241"/>
      <c r="D155" s="242"/>
      <c r="E155" s="264"/>
      <c r="F155" s="243"/>
      <c r="G155" s="243"/>
      <c r="H155" s="243"/>
      <c r="I155" s="243"/>
      <c r="J155" s="243"/>
      <c r="K155" s="243"/>
      <c r="L155" s="243"/>
      <c r="M155" s="152"/>
      <c r="N155" s="244"/>
      <c r="O155" s="152"/>
      <c r="P155" s="243"/>
      <c r="Q155" s="131"/>
      <c r="R155" s="131"/>
      <c r="S155" s="131"/>
      <c r="T155" s="236"/>
      <c r="U155" s="236"/>
      <c r="V155" s="236"/>
      <c r="W155" s="236"/>
      <c r="X155" s="236"/>
      <c r="Y155" s="236"/>
      <c r="Z155" s="236"/>
      <c r="AB155" s="86"/>
    </row>
    <row r="156" spans="1:28" s="123" customFormat="1" ht="13.5" customHeight="1" x14ac:dyDescent="0.35">
      <c r="A156" s="86"/>
      <c r="B156" s="86"/>
      <c r="C156" s="241"/>
      <c r="D156" s="242"/>
      <c r="E156" s="264"/>
      <c r="F156" s="243"/>
      <c r="G156" s="243"/>
      <c r="H156" s="243"/>
      <c r="I156" s="243"/>
      <c r="J156" s="243"/>
      <c r="K156" s="243"/>
      <c r="L156" s="243"/>
      <c r="M156" s="152"/>
      <c r="N156" s="244"/>
      <c r="O156" s="152"/>
      <c r="P156" s="243"/>
      <c r="Q156" s="131"/>
      <c r="R156" s="131"/>
      <c r="S156" s="131"/>
      <c r="T156" s="236"/>
      <c r="U156" s="236"/>
      <c r="V156" s="236"/>
      <c r="W156" s="236"/>
      <c r="X156" s="236"/>
      <c r="Y156" s="236"/>
      <c r="Z156" s="236"/>
      <c r="AB156" s="86"/>
    </row>
    <row r="157" spans="1:28" s="123" customFormat="1" ht="13.5" customHeight="1" x14ac:dyDescent="0.35">
      <c r="A157" s="86"/>
      <c r="B157" s="86"/>
      <c r="C157" s="241"/>
      <c r="D157" s="242"/>
      <c r="E157" s="264"/>
      <c r="F157" s="243"/>
      <c r="G157" s="243"/>
      <c r="H157" s="243"/>
      <c r="I157" s="243"/>
      <c r="J157" s="243"/>
      <c r="K157" s="243"/>
      <c r="L157" s="243"/>
      <c r="M157" s="152"/>
      <c r="N157" s="244"/>
      <c r="O157" s="152"/>
      <c r="P157" s="243"/>
      <c r="Q157" s="131"/>
      <c r="R157" s="131"/>
      <c r="S157" s="131"/>
      <c r="T157" s="236"/>
      <c r="U157" s="236"/>
      <c r="V157" s="236"/>
      <c r="W157" s="236"/>
      <c r="X157" s="236"/>
      <c r="Y157" s="236"/>
      <c r="Z157" s="236"/>
      <c r="AB157" s="86"/>
    </row>
    <row r="158" spans="1:28" s="123" customFormat="1" ht="13.5" customHeight="1" x14ac:dyDescent="0.35">
      <c r="A158" s="86"/>
      <c r="B158" s="86"/>
      <c r="C158" s="241"/>
      <c r="D158" s="242"/>
      <c r="E158" s="264"/>
      <c r="F158" s="243"/>
      <c r="G158" s="243"/>
      <c r="H158" s="243"/>
      <c r="I158" s="243"/>
      <c r="J158" s="243"/>
      <c r="K158" s="243"/>
      <c r="L158" s="243"/>
      <c r="M158" s="152"/>
      <c r="N158" s="244"/>
      <c r="O158" s="152"/>
      <c r="P158" s="243"/>
      <c r="Q158" s="131"/>
      <c r="R158" s="131"/>
      <c r="S158" s="131"/>
      <c r="T158" s="236"/>
      <c r="U158" s="236"/>
      <c r="V158" s="236"/>
      <c r="W158" s="236"/>
      <c r="X158" s="236"/>
      <c r="Y158" s="236"/>
      <c r="Z158" s="236"/>
      <c r="AB158" s="86"/>
    </row>
    <row r="159" spans="1:28" s="123" customFormat="1" ht="13.5" customHeight="1" x14ac:dyDescent="0.35">
      <c r="A159" s="86"/>
      <c r="B159" s="86"/>
      <c r="C159" s="241"/>
      <c r="D159" s="242"/>
      <c r="E159" s="264"/>
      <c r="F159" s="243"/>
      <c r="G159" s="243"/>
      <c r="H159" s="243"/>
      <c r="I159" s="243"/>
      <c r="J159" s="243"/>
      <c r="K159" s="243"/>
      <c r="L159" s="243"/>
      <c r="M159" s="152"/>
      <c r="N159" s="244"/>
      <c r="O159" s="152"/>
      <c r="P159" s="243"/>
      <c r="Q159" s="131"/>
      <c r="R159" s="131"/>
      <c r="S159" s="131"/>
      <c r="T159" s="236"/>
      <c r="U159" s="236"/>
      <c r="V159" s="236"/>
      <c r="W159" s="236"/>
      <c r="X159" s="236"/>
      <c r="Y159" s="236"/>
      <c r="Z159" s="236"/>
      <c r="AB159" s="86"/>
    </row>
    <row r="160" spans="1:28" s="123" customFormat="1" ht="13.5" customHeight="1" x14ac:dyDescent="0.35">
      <c r="A160" s="86"/>
      <c r="B160" s="86"/>
      <c r="C160" s="241"/>
      <c r="D160" s="242"/>
      <c r="E160" s="264"/>
      <c r="F160" s="243"/>
      <c r="G160" s="243"/>
      <c r="H160" s="243"/>
      <c r="I160" s="243"/>
      <c r="J160" s="243"/>
      <c r="K160" s="243"/>
      <c r="L160" s="243"/>
      <c r="M160" s="152"/>
      <c r="N160" s="244"/>
      <c r="O160" s="152"/>
      <c r="P160" s="243"/>
      <c r="Q160" s="131"/>
      <c r="R160" s="131"/>
      <c r="S160" s="131"/>
      <c r="T160" s="236"/>
      <c r="U160" s="236"/>
      <c r="V160" s="236"/>
      <c r="W160" s="236"/>
      <c r="X160" s="236"/>
      <c r="Y160" s="236"/>
      <c r="Z160" s="236"/>
      <c r="AB160" s="86"/>
    </row>
    <row r="161" spans="1:28" s="123" customFormat="1" ht="13.5" customHeight="1" x14ac:dyDescent="0.35">
      <c r="A161" s="86"/>
      <c r="B161" s="86"/>
      <c r="C161" s="241"/>
      <c r="D161" s="242"/>
      <c r="E161" s="264"/>
      <c r="F161" s="243"/>
      <c r="G161" s="243"/>
      <c r="H161" s="243"/>
      <c r="I161" s="243"/>
      <c r="J161" s="243"/>
      <c r="K161" s="243"/>
      <c r="L161" s="243"/>
      <c r="M161" s="152"/>
      <c r="N161" s="244"/>
      <c r="O161" s="152"/>
      <c r="P161" s="243"/>
      <c r="Q161" s="131"/>
      <c r="R161" s="131"/>
      <c r="S161" s="131"/>
      <c r="T161" s="236"/>
      <c r="U161" s="236"/>
      <c r="V161" s="236"/>
      <c r="W161" s="236"/>
      <c r="X161" s="236"/>
      <c r="Y161" s="236"/>
      <c r="Z161" s="236"/>
      <c r="AB161" s="86"/>
    </row>
    <row r="162" spans="1:28" s="123" customFormat="1" ht="13.5" customHeight="1" x14ac:dyDescent="0.35">
      <c r="A162" s="86"/>
      <c r="B162" s="86"/>
      <c r="C162" s="241"/>
      <c r="D162" s="242"/>
      <c r="E162" s="264"/>
      <c r="F162" s="243"/>
      <c r="G162" s="243"/>
      <c r="H162" s="243"/>
      <c r="I162" s="243"/>
      <c r="J162" s="243"/>
      <c r="K162" s="243"/>
      <c r="L162" s="243"/>
      <c r="M162" s="152"/>
      <c r="N162" s="244"/>
      <c r="O162" s="152"/>
      <c r="P162" s="243"/>
      <c r="Q162" s="131"/>
      <c r="R162" s="131"/>
      <c r="S162" s="131"/>
      <c r="T162" s="236"/>
      <c r="U162" s="236"/>
      <c r="V162" s="236"/>
      <c r="W162" s="236"/>
      <c r="X162" s="236"/>
      <c r="Y162" s="236"/>
      <c r="Z162" s="236"/>
      <c r="AB162" s="86"/>
    </row>
    <row r="163" spans="1:28" s="123" customFormat="1" ht="13.5" customHeight="1" x14ac:dyDescent="0.35">
      <c r="A163" s="86"/>
      <c r="B163" s="86"/>
      <c r="C163" s="241"/>
      <c r="D163" s="242"/>
      <c r="E163" s="264"/>
      <c r="F163" s="243"/>
      <c r="G163" s="243"/>
      <c r="H163" s="243"/>
      <c r="I163" s="243"/>
      <c r="J163" s="243"/>
      <c r="K163" s="243"/>
      <c r="L163" s="243"/>
      <c r="M163" s="152"/>
      <c r="N163" s="244"/>
      <c r="O163" s="152"/>
      <c r="P163" s="243"/>
      <c r="Q163" s="131"/>
      <c r="R163" s="131"/>
      <c r="S163" s="131"/>
      <c r="T163" s="236"/>
      <c r="U163" s="236"/>
      <c r="V163" s="236"/>
      <c r="W163" s="236"/>
      <c r="X163" s="236"/>
      <c r="Y163" s="236"/>
      <c r="Z163" s="236"/>
      <c r="AB163" s="86"/>
    </row>
    <row r="164" spans="1:28" s="123" customFormat="1" ht="13.5" customHeight="1" x14ac:dyDescent="0.35">
      <c r="A164" s="86"/>
      <c r="B164" s="86"/>
      <c r="C164" s="241"/>
      <c r="D164" s="242"/>
      <c r="E164" s="264"/>
      <c r="F164" s="243"/>
      <c r="G164" s="243"/>
      <c r="H164" s="243"/>
      <c r="I164" s="243"/>
      <c r="J164" s="243"/>
      <c r="K164" s="243"/>
      <c r="L164" s="243"/>
      <c r="M164" s="152"/>
      <c r="N164" s="244"/>
      <c r="O164" s="152"/>
      <c r="P164" s="243"/>
      <c r="Q164" s="131"/>
      <c r="R164" s="131"/>
      <c r="S164" s="131"/>
      <c r="T164" s="236"/>
      <c r="U164" s="236"/>
      <c r="V164" s="236"/>
      <c r="W164" s="236"/>
      <c r="X164" s="236"/>
      <c r="Y164" s="236"/>
      <c r="Z164" s="236"/>
      <c r="AB164" s="86"/>
    </row>
    <row r="165" spans="1:28" s="123" customFormat="1" ht="13.5" customHeight="1" x14ac:dyDescent="0.35">
      <c r="A165" s="86"/>
      <c r="B165" s="86"/>
      <c r="C165" s="241"/>
      <c r="D165" s="242"/>
      <c r="E165" s="264"/>
      <c r="F165" s="243"/>
      <c r="G165" s="243"/>
      <c r="H165" s="243"/>
      <c r="I165" s="243"/>
      <c r="J165" s="243"/>
      <c r="K165" s="243"/>
      <c r="L165" s="243"/>
      <c r="M165" s="152"/>
      <c r="N165" s="244"/>
      <c r="O165" s="152"/>
      <c r="P165" s="243"/>
      <c r="Q165" s="131"/>
      <c r="R165" s="131"/>
      <c r="S165" s="131"/>
      <c r="T165" s="236"/>
      <c r="U165" s="236"/>
      <c r="V165" s="236"/>
      <c r="W165" s="236"/>
      <c r="X165" s="236"/>
      <c r="Y165" s="236"/>
      <c r="Z165" s="236"/>
      <c r="AB165" s="86"/>
    </row>
    <row r="166" spans="1:28" s="123" customFormat="1" ht="13.5" customHeight="1" x14ac:dyDescent="0.35">
      <c r="A166" s="86"/>
      <c r="B166" s="86"/>
      <c r="C166" s="241"/>
      <c r="D166" s="242"/>
      <c r="E166" s="264"/>
      <c r="F166" s="243"/>
      <c r="G166" s="243"/>
      <c r="H166" s="243"/>
      <c r="I166" s="243"/>
      <c r="J166" s="243"/>
      <c r="K166" s="243"/>
      <c r="L166" s="243"/>
      <c r="M166" s="152"/>
      <c r="N166" s="244"/>
      <c r="O166" s="152"/>
      <c r="P166" s="243"/>
      <c r="Q166" s="131"/>
      <c r="R166" s="131"/>
      <c r="S166" s="131"/>
      <c r="T166" s="236"/>
      <c r="U166" s="236"/>
      <c r="V166" s="236"/>
      <c r="W166" s="236"/>
      <c r="X166" s="236"/>
      <c r="Y166" s="236"/>
      <c r="Z166" s="236"/>
      <c r="AB166" s="86"/>
    </row>
    <row r="167" spans="1:28" s="123" customFormat="1" ht="13.5" customHeight="1" x14ac:dyDescent="0.35">
      <c r="A167" s="86"/>
      <c r="B167" s="86"/>
      <c r="C167" s="241"/>
      <c r="D167" s="242"/>
      <c r="E167" s="264"/>
      <c r="F167" s="243"/>
      <c r="G167" s="243"/>
      <c r="H167" s="243"/>
      <c r="I167" s="243"/>
      <c r="J167" s="243"/>
      <c r="K167" s="243"/>
      <c r="L167" s="243"/>
      <c r="M167" s="152"/>
      <c r="N167" s="244"/>
      <c r="O167" s="152"/>
      <c r="P167" s="243"/>
      <c r="Q167" s="131"/>
      <c r="R167" s="131"/>
      <c r="S167" s="131"/>
      <c r="T167" s="236"/>
      <c r="U167" s="236"/>
      <c r="V167" s="236"/>
      <c r="W167" s="236"/>
      <c r="X167" s="236"/>
      <c r="Y167" s="236"/>
      <c r="Z167" s="236"/>
      <c r="AB167" s="86"/>
    </row>
    <row r="168" spans="1:28" s="123" customFormat="1" ht="13.5" customHeight="1" x14ac:dyDescent="0.35">
      <c r="A168" s="86"/>
      <c r="B168" s="86"/>
      <c r="C168" s="241"/>
      <c r="D168" s="242"/>
      <c r="E168" s="264"/>
      <c r="F168" s="243"/>
      <c r="G168" s="243"/>
      <c r="H168" s="243"/>
      <c r="I168" s="243"/>
      <c r="J168" s="243"/>
      <c r="K168" s="243"/>
      <c r="L168" s="243"/>
      <c r="M168" s="152"/>
      <c r="N168" s="244"/>
      <c r="O168" s="152"/>
      <c r="P168" s="243"/>
      <c r="Q168" s="131"/>
      <c r="R168" s="131"/>
      <c r="S168" s="131"/>
      <c r="T168" s="236"/>
      <c r="U168" s="236"/>
      <c r="V168" s="236"/>
      <c r="W168" s="236"/>
      <c r="X168" s="236"/>
      <c r="Y168" s="236"/>
      <c r="Z168" s="236"/>
      <c r="AB168" s="86"/>
    </row>
    <row r="169" spans="1:28" s="123" customFormat="1" ht="13.5" customHeight="1" x14ac:dyDescent="0.35">
      <c r="A169" s="86"/>
      <c r="B169" s="86"/>
      <c r="C169" s="241"/>
      <c r="D169" s="242"/>
      <c r="E169" s="264"/>
      <c r="F169" s="243"/>
      <c r="G169" s="243"/>
      <c r="H169" s="243"/>
      <c r="I169" s="243"/>
      <c r="J169" s="243"/>
      <c r="K169" s="243"/>
      <c r="L169" s="243"/>
      <c r="M169" s="152"/>
      <c r="N169" s="244"/>
      <c r="O169" s="152"/>
      <c r="P169" s="243"/>
      <c r="Q169" s="131"/>
      <c r="R169" s="131"/>
      <c r="S169" s="131"/>
      <c r="T169" s="236"/>
      <c r="U169" s="236"/>
      <c r="V169" s="236"/>
      <c r="W169" s="236"/>
      <c r="X169" s="236"/>
      <c r="Y169" s="236"/>
      <c r="Z169" s="236"/>
      <c r="AB169" s="86"/>
    </row>
    <row r="170" spans="1:28" s="123" customFormat="1" ht="13.5" customHeight="1" x14ac:dyDescent="0.35">
      <c r="A170" s="86"/>
      <c r="B170" s="86"/>
      <c r="C170" s="241"/>
      <c r="D170" s="242"/>
      <c r="E170" s="264"/>
      <c r="F170" s="243"/>
      <c r="G170" s="243"/>
      <c r="H170" s="243"/>
      <c r="I170" s="243"/>
      <c r="J170" s="243"/>
      <c r="K170" s="243"/>
      <c r="L170" s="243"/>
      <c r="M170" s="152"/>
      <c r="N170" s="244"/>
      <c r="O170" s="152"/>
      <c r="P170" s="243"/>
      <c r="Q170" s="131"/>
      <c r="R170" s="131"/>
      <c r="S170" s="131"/>
      <c r="T170" s="236"/>
      <c r="U170" s="236"/>
      <c r="V170" s="236"/>
      <c r="W170" s="236"/>
      <c r="X170" s="236"/>
      <c r="Y170" s="236"/>
      <c r="Z170" s="236"/>
      <c r="AB170" s="86"/>
    </row>
    <row r="171" spans="1:28" s="123" customFormat="1" ht="13.5" customHeight="1" x14ac:dyDescent="0.35">
      <c r="A171" s="86"/>
      <c r="B171" s="86"/>
      <c r="C171" s="241"/>
      <c r="D171" s="242"/>
      <c r="E171" s="264"/>
      <c r="F171" s="243"/>
      <c r="G171" s="243"/>
      <c r="H171" s="243"/>
      <c r="I171" s="243"/>
      <c r="J171" s="243"/>
      <c r="K171" s="243"/>
      <c r="L171" s="243"/>
      <c r="M171" s="152"/>
      <c r="N171" s="244"/>
      <c r="O171" s="152"/>
      <c r="P171" s="243"/>
      <c r="Q171" s="131"/>
      <c r="R171" s="131"/>
      <c r="S171" s="131"/>
      <c r="T171" s="236"/>
      <c r="U171" s="236"/>
      <c r="V171" s="236"/>
      <c r="W171" s="236"/>
      <c r="X171" s="236"/>
      <c r="Y171" s="236"/>
      <c r="Z171" s="236"/>
      <c r="AB171" s="86"/>
    </row>
    <row r="172" spans="1:28" s="123" customFormat="1" ht="13.5" customHeight="1" x14ac:dyDescent="0.35">
      <c r="A172" s="86"/>
      <c r="B172" s="86"/>
      <c r="C172" s="241"/>
      <c r="D172" s="242"/>
      <c r="E172" s="264"/>
      <c r="F172" s="243"/>
      <c r="G172" s="243"/>
      <c r="H172" s="243"/>
      <c r="I172" s="243"/>
      <c r="J172" s="243"/>
      <c r="K172" s="243"/>
      <c r="L172" s="243"/>
      <c r="M172" s="152"/>
      <c r="N172" s="244"/>
      <c r="O172" s="152"/>
      <c r="P172" s="243"/>
      <c r="Q172" s="131"/>
      <c r="R172" s="131"/>
      <c r="S172" s="131"/>
      <c r="T172" s="236"/>
      <c r="U172" s="236"/>
      <c r="V172" s="236"/>
      <c r="W172" s="236"/>
      <c r="X172" s="236"/>
      <c r="Y172" s="236"/>
      <c r="Z172" s="236"/>
      <c r="AB172" s="86"/>
    </row>
    <row r="173" spans="1:28" s="123" customFormat="1" ht="13.5" customHeight="1" x14ac:dyDescent="0.35">
      <c r="B173" s="86"/>
      <c r="D173" s="244"/>
      <c r="F173" s="86"/>
      <c r="H173" s="86"/>
      <c r="J173" s="86"/>
      <c r="K173" s="86"/>
      <c r="L173" s="86"/>
      <c r="M173" s="277"/>
      <c r="N173" s="277"/>
      <c r="O173" s="277"/>
      <c r="P173" s="277"/>
      <c r="Q173" s="277"/>
      <c r="R173" s="277"/>
      <c r="S173" s="277"/>
      <c r="T173" s="236"/>
      <c r="U173" s="236"/>
      <c r="V173" s="236"/>
      <c r="W173" s="236"/>
      <c r="X173" s="236"/>
      <c r="Y173" s="236"/>
      <c r="Z173" s="253"/>
      <c r="AB173" s="86"/>
    </row>
    <row r="174" spans="1:28" s="123" customFormat="1" ht="13.5" customHeight="1" x14ac:dyDescent="0.35">
      <c r="B174" s="86"/>
      <c r="J174" s="86"/>
      <c r="K174" s="86"/>
      <c r="L174" s="86"/>
      <c r="M174" s="277"/>
      <c r="N174" s="277"/>
      <c r="O174" s="277"/>
      <c r="P174" s="277"/>
      <c r="Q174" s="277"/>
      <c r="R174" s="277"/>
      <c r="S174" s="277"/>
      <c r="T174" s="236"/>
      <c r="U174" s="236"/>
      <c r="V174" s="236"/>
      <c r="W174" s="236"/>
      <c r="X174" s="236"/>
      <c r="Y174" s="236"/>
      <c r="Z174" s="253"/>
      <c r="AB174" s="86"/>
    </row>
    <row r="175" spans="1:28" s="123" customFormat="1" ht="13.5" customHeight="1" x14ac:dyDescent="0.35">
      <c r="B175" s="86"/>
      <c r="J175" s="86"/>
      <c r="K175" s="86"/>
      <c r="L175" s="86"/>
      <c r="M175" s="277"/>
      <c r="N175" s="277"/>
      <c r="O175" s="277"/>
      <c r="P175" s="277"/>
      <c r="Q175" s="277"/>
      <c r="R175" s="277"/>
      <c r="S175" s="277"/>
      <c r="T175" s="236"/>
      <c r="U175" s="236"/>
      <c r="V175" s="236"/>
      <c r="W175" s="236"/>
      <c r="X175" s="236"/>
      <c r="Y175" s="236"/>
      <c r="Z175" s="253"/>
      <c r="AB175" s="86"/>
    </row>
    <row r="176" spans="1:28" s="123" customFormat="1" ht="13.5" customHeight="1" x14ac:dyDescent="0.35">
      <c r="B176" s="86"/>
      <c r="J176" s="86"/>
      <c r="K176" s="86"/>
      <c r="L176" s="86"/>
      <c r="M176" s="277"/>
      <c r="N176" s="277"/>
      <c r="O176" s="277"/>
      <c r="P176" s="277"/>
      <c r="Q176" s="277"/>
      <c r="R176" s="277"/>
      <c r="S176" s="277"/>
      <c r="T176" s="236"/>
      <c r="U176" s="236"/>
      <c r="V176" s="236"/>
      <c r="W176" s="236"/>
      <c r="X176" s="236"/>
      <c r="Y176" s="236"/>
      <c r="Z176" s="253"/>
      <c r="AB176" s="86"/>
    </row>
    <row r="177" spans="29:29" x14ac:dyDescent="0.25">
      <c r="AC177" s="206"/>
    </row>
    <row r="178" spans="29:29" x14ac:dyDescent="0.25">
      <c r="AC178" s="206"/>
    </row>
    <row r="179" spans="29:29" x14ac:dyDescent="0.25">
      <c r="AC179" s="206"/>
    </row>
    <row r="180" spans="29:29" x14ac:dyDescent="0.25">
      <c r="AC180" s="206"/>
    </row>
    <row r="181" spans="29:29" x14ac:dyDescent="0.25">
      <c r="AC181" s="206"/>
    </row>
    <row r="182" spans="29:29" x14ac:dyDescent="0.25">
      <c r="AC182" s="206"/>
    </row>
    <row r="183" spans="29:29" x14ac:dyDescent="0.25">
      <c r="AC183" s="206"/>
    </row>
  </sheetData>
  <mergeCells count="7">
    <mergeCell ref="A8:B8"/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  <rowBreaks count="1" manualBreakCount="1">
    <brk id="74" max="1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148"/>
  <sheetViews>
    <sheetView view="pageBreakPreview" zoomScaleSheetLayoutView="100" workbookViewId="0">
      <selection sqref="A1:O1"/>
    </sheetView>
  </sheetViews>
  <sheetFormatPr defaultColWidth="9.109375" defaultRowHeight="13.2" outlineLevelRow="1" outlineLevelCol="1" x14ac:dyDescent="0.25"/>
  <cols>
    <col min="1" max="1" width="5" style="206" customWidth="1"/>
    <col min="2" max="2" width="8.21875" style="207" customWidth="1"/>
    <col min="3" max="3" width="27.6640625" style="206" customWidth="1"/>
    <col min="4" max="4" width="9.6640625" style="60" customWidth="1"/>
    <col min="5" max="5" width="6.88671875" style="206" customWidth="1"/>
    <col min="6" max="6" width="7.88671875" style="206" customWidth="1"/>
    <col min="7" max="7" width="7.6640625" style="207" bestFit="1" customWidth="1"/>
    <col min="8" max="8" width="6.33203125" style="206" customWidth="1"/>
    <col min="9" max="9" width="5.44140625" style="207" customWidth="1"/>
    <col min="10" max="10" width="6.5546875" style="207" customWidth="1" outlineLevel="1"/>
    <col min="11" max="11" width="6.5546875" style="38" customWidth="1" outlineLevel="1"/>
    <col min="12" max="12" width="7.109375" style="38" customWidth="1" outlineLevel="1"/>
    <col min="13" max="14" width="5.33203125" style="38" customWidth="1"/>
    <col min="15" max="15" width="8.44140625" style="206" bestFit="1" customWidth="1" outlineLevel="1"/>
    <col min="16" max="16" width="7.33203125" style="206" bestFit="1" customWidth="1" outlineLevel="1"/>
    <col min="17" max="17" width="6.6640625" style="206" bestFit="1" customWidth="1" outlineLevel="1"/>
    <col min="18" max="18" width="3.33203125" style="206" bestFit="1" customWidth="1" outlineLevel="1"/>
    <col min="19" max="19" width="5.44140625" style="206" bestFit="1" customWidth="1" outlineLevel="1"/>
    <col min="20" max="20" width="6.109375" style="206" customWidth="1" outlineLevel="1"/>
    <col min="21" max="21" width="6" style="206" customWidth="1" outlineLevel="1"/>
    <col min="22" max="22" width="7.44140625" style="206" customWidth="1" outlineLevel="1"/>
    <col min="23" max="24" width="5.109375" style="206" customWidth="1" outlineLevel="1"/>
    <col min="25" max="25" width="6.33203125" style="206" bestFit="1" customWidth="1"/>
    <col min="26" max="26" width="5.44140625" style="207" bestFit="1" customWidth="1"/>
    <col min="27" max="27" width="6.33203125" style="207" customWidth="1"/>
    <col min="28" max="28" width="5.44140625" style="206" bestFit="1" customWidth="1"/>
    <col min="29" max="29" width="6.5546875" style="207" bestFit="1" customWidth="1"/>
    <col min="30" max="30" width="6.5546875" style="206" bestFit="1" customWidth="1"/>
    <col min="31" max="31" width="4.6640625" style="206" bestFit="1" customWidth="1"/>
    <col min="32" max="32" width="4.88671875" style="206" bestFit="1" customWidth="1"/>
    <col min="33" max="33" width="5.109375" style="206" bestFit="1" customWidth="1"/>
    <col min="34" max="36" width="3.109375" style="206" bestFit="1" customWidth="1"/>
    <col min="37" max="16384" width="9.109375" style="206"/>
  </cols>
  <sheetData>
    <row r="1" spans="1:50" ht="13.2" customHeight="1" x14ac:dyDescent="0.25">
      <c r="A1" s="434" t="str">
        <f>Расп!$A$21</f>
        <v>МИНИСТЕРСТВО СПОРТА РОССИЙСКОЙ ФЕДЕРАЦИИ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5"/>
      <c r="P1" s="39"/>
      <c r="Q1" s="60" t="s">
        <v>29</v>
      </c>
      <c r="R1" s="208">
        <v>0</v>
      </c>
      <c r="S1" s="208"/>
      <c r="T1" s="208">
        <v>1600</v>
      </c>
      <c r="U1" s="208">
        <v>2000</v>
      </c>
      <c r="V1" s="208">
        <v>2700</v>
      </c>
      <c r="W1" s="208">
        <v>3300</v>
      </c>
      <c r="X1" s="208">
        <v>3900</v>
      </c>
      <c r="Y1" s="209">
        <v>4500</v>
      </c>
      <c r="Z1" s="89">
        <v>5250</v>
      </c>
      <c r="AA1" s="89">
        <v>6150</v>
      </c>
      <c r="AB1" s="89"/>
      <c r="AC1" s="210" t="s">
        <v>89</v>
      </c>
      <c r="AD1" s="211" t="s">
        <v>90</v>
      </c>
      <c r="AE1" s="210">
        <v>4000</v>
      </c>
      <c r="AF1" s="89"/>
      <c r="AG1" s="89"/>
    </row>
    <row r="2" spans="1:50" ht="13.2" customHeight="1" x14ac:dyDescent="0.25">
      <c r="A2" s="434" t="str">
        <f>Расп!$A$22</f>
        <v>ВСЕРОССИЙСКАЯ ФЕДЕРАЦИЯ ЛЕГКОЙ АТЛЕТИКИ</v>
      </c>
      <c r="B2" s="434"/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  <c r="N2" s="434"/>
      <c r="O2" s="435"/>
      <c r="P2" s="39"/>
      <c r="Q2" s="60" t="s">
        <v>0</v>
      </c>
      <c r="R2" s="212" t="s">
        <v>66</v>
      </c>
      <c r="S2" s="89" t="s">
        <v>73</v>
      </c>
      <c r="T2" s="89" t="s">
        <v>74</v>
      </c>
      <c r="U2" s="89" t="s">
        <v>75</v>
      </c>
      <c r="V2" s="213">
        <v>3</v>
      </c>
      <c r="W2" s="208">
        <v>2</v>
      </c>
      <c r="X2" s="208">
        <v>1</v>
      </c>
      <c r="Y2" s="209" t="s">
        <v>62</v>
      </c>
      <c r="Z2" s="89" t="s">
        <v>61</v>
      </c>
      <c r="AA2" s="89" t="s">
        <v>63</v>
      </c>
      <c r="AB2" s="89"/>
      <c r="AC2" s="206"/>
      <c r="AF2" s="89"/>
      <c r="AG2" s="89"/>
    </row>
    <row r="3" spans="1:50" ht="13.2" customHeight="1" x14ac:dyDescent="0.25">
      <c r="A3" s="432" t="str">
        <f>Расп!$A$25</f>
        <v>Командный чемпионат России</v>
      </c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39"/>
      <c r="Q3" s="60"/>
      <c r="R3" s="89"/>
      <c r="S3" s="89"/>
      <c r="T3" s="89"/>
      <c r="U3" s="89"/>
      <c r="W3" s="89"/>
      <c r="X3" s="89"/>
      <c r="Y3" s="214" t="s">
        <v>83</v>
      </c>
      <c r="Z3" s="89"/>
      <c r="AA3" s="89"/>
      <c r="AB3" s="89"/>
      <c r="AC3" s="89"/>
      <c r="AD3" s="89"/>
      <c r="AE3" s="89"/>
      <c r="AF3" s="89"/>
      <c r="AG3" s="89"/>
    </row>
    <row r="4" spans="1:50" ht="13.2" customHeight="1" x14ac:dyDescent="0.25">
      <c r="A4" s="432" t="str">
        <f>Расп!$A$27</f>
        <v>по многоборью</v>
      </c>
      <c r="B4" s="432"/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3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50" ht="13.2" customHeight="1" x14ac:dyDescent="0.3">
      <c r="A5" s="433" t="s">
        <v>118</v>
      </c>
      <c r="B5" s="433"/>
      <c r="C5" s="433"/>
      <c r="D5" s="433"/>
      <c r="E5" s="433"/>
      <c r="F5" s="433"/>
      <c r="G5" s="433"/>
      <c r="H5" s="433"/>
      <c r="I5" s="433"/>
      <c r="J5" s="433"/>
      <c r="K5" s="433"/>
      <c r="L5" s="433"/>
      <c r="M5" s="433"/>
      <c r="N5" s="433"/>
      <c r="O5" s="433"/>
      <c r="P5" s="216"/>
      <c r="Q5" s="60" t="s">
        <v>60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206">
        <v>17</v>
      </c>
    </row>
    <row r="6" spans="1:50" ht="13.2" customHeight="1" x14ac:dyDescent="0.3">
      <c r="A6" s="433" t="s">
        <v>11</v>
      </c>
      <c r="B6" s="433"/>
      <c r="C6" s="433"/>
      <c r="D6" s="433"/>
      <c r="E6" s="433"/>
      <c r="F6" s="433"/>
      <c r="G6" s="433"/>
      <c r="H6" s="433"/>
      <c r="I6" s="433"/>
      <c r="J6" s="433"/>
      <c r="K6" s="433"/>
      <c r="L6" s="433"/>
      <c r="M6" s="433"/>
      <c r="N6" s="433"/>
      <c r="O6" s="433"/>
      <c r="P6" s="216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206">
        <v>0</v>
      </c>
    </row>
    <row r="7" spans="1:50" ht="13.2" hidden="1" customHeight="1" x14ac:dyDescent="0.25">
      <c r="C7" s="207"/>
      <c r="E7" s="36"/>
      <c r="F7" s="89"/>
      <c r="G7" s="181"/>
      <c r="H7" s="89"/>
      <c r="I7" s="181"/>
      <c r="J7" s="282"/>
      <c r="K7" s="284"/>
      <c r="L7" s="207"/>
      <c r="M7" s="207"/>
      <c r="N7" s="282"/>
      <c r="O7" s="283"/>
      <c r="P7" s="216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50" ht="13.2" customHeight="1" x14ac:dyDescent="0.3">
      <c r="B8" s="206"/>
      <c r="C8" s="44"/>
      <c r="E8" s="36"/>
      <c r="F8" s="89"/>
      <c r="G8" s="181"/>
      <c r="H8" s="89"/>
      <c r="I8" s="181"/>
      <c r="J8" s="282" t="str">
        <f>Расп!A1</f>
        <v>04.09.2019 г.</v>
      </c>
      <c r="K8" s="284" t="s">
        <v>122</v>
      </c>
      <c r="L8" s="207"/>
      <c r="M8" s="207"/>
      <c r="N8" s="282" t="str">
        <f>Расп!A6</f>
        <v>19.05.2019 г.</v>
      </c>
      <c r="O8" s="283" t="s">
        <v>122</v>
      </c>
      <c r="P8" s="217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62</v>
      </c>
      <c r="V8" s="88" t="s">
        <v>61</v>
      </c>
      <c r="W8" s="88" t="s">
        <v>63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50" ht="13.2" customHeight="1" x14ac:dyDescent="0.25">
      <c r="A9" s="86" t="str">
        <f>Расп!$A$14</f>
        <v>РМ</v>
      </c>
      <c r="B9" s="207">
        <f>Расп!B14</f>
        <v>7291</v>
      </c>
      <c r="C9" s="215"/>
      <c r="F9" s="89"/>
      <c r="G9" s="181"/>
      <c r="H9" s="89"/>
      <c r="I9" s="181"/>
      <c r="J9" s="192" t="str">
        <f>Расп!A2</f>
        <v>бег с барьерами 100 м</v>
      </c>
      <c r="K9" s="190">
        <f>Расп!B2</f>
        <v>0.40972222222222227</v>
      </c>
      <c r="L9" s="281"/>
      <c r="M9" s="281"/>
      <c r="N9" s="192" t="str">
        <f>Расп!A7</f>
        <v>прыжок в длину</v>
      </c>
      <c r="O9" s="190">
        <f>Расп!B7</f>
        <v>0.41666666666666669</v>
      </c>
      <c r="P9" s="217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50" ht="13.2" customHeight="1" x14ac:dyDescent="0.25">
      <c r="A10" s="86" t="str">
        <f>Расп!$A$15</f>
        <v>РЕ</v>
      </c>
      <c r="B10" s="207">
        <f>Расп!B15</f>
        <v>7032</v>
      </c>
      <c r="F10" s="89"/>
      <c r="G10" s="181"/>
      <c r="H10" s="205"/>
      <c r="I10" s="206"/>
      <c r="J10" s="192" t="str">
        <f>Расп!A3</f>
        <v>прыжок в высоту</v>
      </c>
      <c r="K10" s="190">
        <f>Расп!B3</f>
        <v>0.44791666666666669</v>
      </c>
      <c r="L10" s="198"/>
      <c r="M10" s="198"/>
      <c r="N10" s="192" t="str">
        <f>Расп!A8</f>
        <v>метание копья (600 г)</v>
      </c>
      <c r="O10" s="190">
        <f>Расп!B8</f>
        <v>0.48958333333333331</v>
      </c>
      <c r="P10" s="217" t="s">
        <v>24</v>
      </c>
      <c r="Q10" s="168"/>
      <c r="R10" s="218"/>
      <c r="S10" s="168"/>
      <c r="T10" s="168"/>
      <c r="U10" s="168"/>
      <c r="V10" s="168"/>
      <c r="W10" s="219"/>
      <c r="Z10" s="206"/>
      <c r="AB10" s="60"/>
      <c r="AC10" s="89"/>
      <c r="AD10" s="89"/>
      <c r="AE10" s="89"/>
      <c r="AF10" s="89"/>
      <c r="AG10" s="89"/>
    </row>
    <row r="11" spans="1:50" ht="13.2" customHeight="1" x14ac:dyDescent="0.3">
      <c r="A11" s="86" t="str">
        <f>Расп!$A$16</f>
        <v>РР</v>
      </c>
      <c r="B11" s="207">
        <f>Расп!B16</f>
        <v>7007</v>
      </c>
      <c r="C11" s="44"/>
      <c r="G11" s="205"/>
      <c r="I11" s="89"/>
      <c r="J11" s="192" t="str">
        <f>Расп!A4</f>
        <v>толкание ядра</v>
      </c>
      <c r="K11" s="190">
        <f>Расп!B4</f>
        <v>0.70833333333333337</v>
      </c>
      <c r="L11" s="198"/>
      <c r="M11" s="198"/>
      <c r="N11" s="192" t="str">
        <f>Расп!A9</f>
        <v>бег 800 м</v>
      </c>
      <c r="O11" s="190">
        <f>Расп!B9</f>
        <v>0.75694444444444453</v>
      </c>
      <c r="P11" s="217"/>
      <c r="Q11" s="220" t="s">
        <v>84</v>
      </c>
      <c r="R11" s="221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50" ht="13.2" customHeight="1" x14ac:dyDescent="0.25">
      <c r="A12" s="206" t="str">
        <f>Расп!$A$26</f>
        <v>г.Сочи, Адлерский район, стадион "Юность"</v>
      </c>
      <c r="J12" s="192" t="str">
        <f>Расп!A5</f>
        <v>бег 200 м</v>
      </c>
      <c r="K12" s="190">
        <f>Расп!B5</f>
        <v>0.75347222222222221</v>
      </c>
      <c r="L12" s="198"/>
      <c r="M12" s="198"/>
      <c r="N12" s="198"/>
      <c r="O12" s="198"/>
      <c r="P12" s="222"/>
      <c r="Q12" s="168"/>
      <c r="R12" s="168"/>
      <c r="S12" s="168"/>
      <c r="T12" s="168"/>
      <c r="U12" s="168"/>
      <c r="V12" s="168"/>
      <c r="W12" s="219"/>
      <c r="Z12" s="206"/>
      <c r="AA12" s="88"/>
      <c r="AB12" s="86"/>
      <c r="AC12" s="206"/>
    </row>
    <row r="13" spans="1:50" s="98" customFormat="1" ht="30.6" customHeight="1" x14ac:dyDescent="0.25">
      <c r="A13" s="193" t="s">
        <v>60</v>
      </c>
      <c r="B13" s="193" t="s">
        <v>113</v>
      </c>
      <c r="C13" s="193" t="s">
        <v>126</v>
      </c>
      <c r="D13" s="193" t="s">
        <v>129</v>
      </c>
      <c r="E13" s="93"/>
      <c r="F13" s="193" t="s">
        <v>104</v>
      </c>
      <c r="G13" s="193" t="s">
        <v>105</v>
      </c>
      <c r="H13" s="193" t="s">
        <v>106</v>
      </c>
      <c r="I13" s="193" t="s">
        <v>123</v>
      </c>
      <c r="J13" s="193" t="s">
        <v>108</v>
      </c>
      <c r="K13" s="193" t="s">
        <v>109</v>
      </c>
      <c r="L13" s="193" t="s">
        <v>124</v>
      </c>
      <c r="M13" s="200" t="s">
        <v>29</v>
      </c>
      <c r="N13" s="200" t="s">
        <v>0</v>
      </c>
      <c r="O13" s="287" t="s">
        <v>120</v>
      </c>
      <c r="P13" s="223" t="s">
        <v>19</v>
      </c>
      <c r="Q13" s="96" t="s">
        <v>91</v>
      </c>
      <c r="R13" s="96" t="s">
        <v>92</v>
      </c>
      <c r="S13" s="96" t="s">
        <v>93</v>
      </c>
      <c r="T13" s="97" t="s">
        <v>76</v>
      </c>
      <c r="U13" s="97" t="s">
        <v>16</v>
      </c>
      <c r="V13" s="97" t="s">
        <v>27</v>
      </c>
      <c r="W13" s="97">
        <v>200</v>
      </c>
      <c r="X13" s="97" t="s">
        <v>26</v>
      </c>
      <c r="Y13" s="224" t="s">
        <v>17</v>
      </c>
      <c r="Z13" s="224">
        <v>800</v>
      </c>
      <c r="AC13" s="225" t="s">
        <v>87</v>
      </c>
      <c r="AD13" s="225" t="s">
        <v>88</v>
      </c>
    </row>
    <row r="14" spans="1:50" s="205" customFormat="1" ht="13.2" hidden="1" customHeight="1" x14ac:dyDescent="0.25">
      <c r="D14" s="187"/>
      <c r="M14" s="49"/>
      <c r="N14" s="49"/>
      <c r="O14" s="49"/>
      <c r="P14" s="159"/>
      <c r="Q14" s="49"/>
      <c r="R14" s="49"/>
      <c r="S14" s="49"/>
      <c r="T14" s="169"/>
      <c r="U14" s="169"/>
      <c r="V14" s="169"/>
      <c r="W14" s="169"/>
      <c r="X14" s="169"/>
      <c r="Y14" s="169"/>
      <c r="Z14" s="226"/>
      <c r="AC14" s="227"/>
      <c r="AD14" s="131"/>
    </row>
    <row r="15" spans="1:50" s="205" customFormat="1" ht="13.2" customHeight="1" thickBot="1" x14ac:dyDescent="0.3">
      <c r="A15" s="228"/>
      <c r="B15" s="228"/>
      <c r="C15" s="228"/>
      <c r="D15" s="229"/>
      <c r="E15" s="228"/>
      <c r="F15" s="228"/>
      <c r="G15" s="228"/>
      <c r="H15" s="228"/>
      <c r="I15" s="228"/>
      <c r="J15" s="228"/>
      <c r="K15" s="228"/>
      <c r="L15" s="228"/>
      <c r="M15" s="230"/>
      <c r="N15" s="230"/>
      <c r="O15" s="230"/>
      <c r="P15" s="159"/>
      <c r="Q15" s="49"/>
      <c r="R15" s="49"/>
      <c r="S15" s="49"/>
      <c r="T15" s="169"/>
      <c r="U15" s="169"/>
      <c r="V15" s="169"/>
      <c r="W15" s="169"/>
      <c r="X15" s="169"/>
      <c r="Y15" s="169"/>
      <c r="Z15" s="226"/>
      <c r="AC15" s="227"/>
      <c r="AD15" s="131"/>
    </row>
    <row r="16" spans="1:50" s="131" customFormat="1" ht="13.2" customHeight="1" thickTop="1" x14ac:dyDescent="0.35">
      <c r="A16" s="86" t="e">
        <f>RANK(M16,$M$16:$M$50,0)</f>
        <v>#N/A</v>
      </c>
      <c r="B16" s="86">
        <v>64</v>
      </c>
      <c r="C16" s="123" t="str">
        <f>VLOOKUP(B16,Уч!$A$2:$L$16,2,FALSE)</f>
        <v>Дерган Евгения</v>
      </c>
      <c r="D16" s="231" t="str">
        <f>VLOOKUP(B16,Уч!$A$2:$L$16,3,FALSE)</f>
        <v>11.04.1994</v>
      </c>
      <c r="E16" s="285" t="s">
        <v>18</v>
      </c>
      <c r="F16" s="233">
        <f>VLOOKUP($B16,'110 сб '!$C$17:$I$87,5,FALSE)</f>
        <v>15.87</v>
      </c>
      <c r="G16" s="233">
        <f>VLOOKUP($B16,высота!$C$17:$AF$42,29,FALSE)</f>
        <v>1.86</v>
      </c>
      <c r="H16" s="233">
        <f>VLOOKUP($B16,ядро!$C$17:$K$43,8,FALSE)</f>
        <v>14.48</v>
      </c>
      <c r="I16" s="233">
        <f>VLOOKUP($B16,'2_р'!$C$17:$I$68,5,FALSE)</f>
        <v>26.81</v>
      </c>
      <c r="J16" s="233">
        <f>VLOOKUP($B16,Дл_р!$C$17:$O$43,11,FALSE)</f>
        <v>5.3</v>
      </c>
      <c r="K16" s="233">
        <f>VLOOKUP($B16,К_р!$C$18:$K$31,8,FALSE)</f>
        <v>38.68</v>
      </c>
      <c r="L16" s="234" t="str">
        <f>VLOOKUP($B16,'8_р'!$C$17:$H$77,5,FALSE)</f>
        <v>2:32.13</v>
      </c>
      <c r="M16" s="235">
        <f>SUM(F18:L18)</f>
        <v>4235</v>
      </c>
      <c r="N16" s="86">
        <f>LOOKUP(M16,R$1:AA$1,R$2:AA$2)</f>
        <v>1</v>
      </c>
      <c r="O16" s="86" t="e">
        <f>AC16+AD16+5</f>
        <v>#N/A</v>
      </c>
      <c r="P16" s="86">
        <f>B16</f>
        <v>64</v>
      </c>
      <c r="Q16" s="131" t="e">
        <f>$A16</f>
        <v>#N/A</v>
      </c>
      <c r="R16" s="131">
        <v>1</v>
      </c>
      <c r="S16" s="131" t="e">
        <f>$A16</f>
        <v>#N/A</v>
      </c>
      <c r="T16" s="236"/>
      <c r="U16" s="236"/>
      <c r="V16" s="236"/>
      <c r="W16" s="236"/>
      <c r="X16" s="236"/>
      <c r="Y16" s="236"/>
      <c r="Z16" s="253"/>
      <c r="AB16" s="123"/>
      <c r="AC16" s="131" t="e">
        <f>IF(AND(Q16&gt;16,M16&gt;=4600),"1",LOOKUP(Q16,Q$5:AH$5,Q$6:AH$6))</f>
        <v>#N/A</v>
      </c>
      <c r="AD16" s="131">
        <f>LOOKUP(N16,R$8:W$8,R$9:W$9)</f>
        <v>0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</row>
    <row r="17" spans="1:50" s="131" customFormat="1" ht="13.2" customHeight="1" x14ac:dyDescent="0.35">
      <c r="A17" s="86"/>
      <c r="B17" s="86"/>
      <c r="C17" s="123" t="str">
        <f>VLOOKUP(B16,Уч!$A$2:$L$16,5,FALSE)</f>
        <v xml:space="preserve">Республика Адыгея  </v>
      </c>
      <c r="D17" s="231" t="str">
        <f>VLOOKUP(B16,Уч!$A$2:$L$16,4,FALSE)</f>
        <v>КМС</v>
      </c>
      <c r="E17" s="285" t="s">
        <v>25</v>
      </c>
      <c r="F17" s="238">
        <f>VLOOKUP($B16,'110 сб '!$C$17:$I$87,6,FALSE)</f>
        <v>1.2</v>
      </c>
      <c r="G17" s="239"/>
      <c r="H17" s="239"/>
      <c r="I17" s="238">
        <f>VLOOKUP($B16,'2_р'!$C$17:$I$68,6,FALSE)</f>
        <v>1.2</v>
      </c>
      <c r="J17" s="238">
        <f>VLOOKUP($B16,Дл_р!$C$17:$O$43,12,FALSE)</f>
        <v>-0.1</v>
      </c>
      <c r="K17" s="239"/>
      <c r="L17" s="240"/>
      <c r="M17" s="152"/>
      <c r="N17" s="86"/>
      <c r="O17" s="86" t="e">
        <f>CONCATENATE(AC16,"+",AD16,"+",5)</f>
        <v>#N/A</v>
      </c>
      <c r="P17" s="86">
        <f>B16</f>
        <v>64</v>
      </c>
      <c r="Q17" s="131" t="e">
        <f>$A16</f>
        <v>#N/A</v>
      </c>
      <c r="R17" s="131">
        <v>2</v>
      </c>
      <c r="S17" s="131" t="e">
        <f>$A16</f>
        <v>#N/A</v>
      </c>
      <c r="T17" s="236"/>
      <c r="U17" s="236"/>
      <c r="V17" s="236"/>
      <c r="W17" s="236"/>
      <c r="X17" s="236"/>
      <c r="Y17" s="236"/>
      <c r="Z17" s="253"/>
      <c r="AB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</row>
    <row r="18" spans="1:50" s="131" customFormat="1" ht="13.2" customHeight="1" x14ac:dyDescent="0.35">
      <c r="A18" s="86"/>
      <c r="B18" s="86"/>
      <c r="C18" s="241" t="str">
        <f>VLOOKUP(B16,Уч!$A$2:$L$16,7,FALSE)</f>
        <v>ГБУ РА "ЦСП СК РА"</v>
      </c>
      <c r="D18" s="242"/>
      <c r="E18" s="285" t="s">
        <v>29</v>
      </c>
      <c r="F18" s="243">
        <f>VLOOKUP($B16,'110 сб '!$C$17:$I$87,7,FALSE)</f>
        <v>730</v>
      </c>
      <c r="G18" s="243">
        <f>VLOOKUP($B16,высота!$C$17:$AF$42,30,FALSE)</f>
        <v>0</v>
      </c>
      <c r="H18" s="243">
        <f>VLOOKUP($B16,ядро!$C$17:$K$43,9,FALSE)</f>
        <v>826</v>
      </c>
      <c r="I18" s="243">
        <f>VLOOKUP($B16,'2_р'!$C$17:$I$68,7,FALSE)</f>
        <v>728</v>
      </c>
      <c r="J18" s="243">
        <f>VLOOKUP($B16,Дл_р!$C$17:$O$43,13,FALSE)</f>
        <v>643</v>
      </c>
      <c r="K18" s="243">
        <f>VLOOKUP($B16,К_р!$C$18:$K$31,9,FALSE)</f>
        <v>642</v>
      </c>
      <c r="L18" s="240">
        <f>VLOOKUP($B16,'8_р'!$C$17:$H$77,6,FALSE)</f>
        <v>666</v>
      </c>
      <c r="M18" s="152"/>
      <c r="N18" s="244"/>
      <c r="O18" s="152"/>
      <c r="P18" s="243">
        <f>B16</f>
        <v>64</v>
      </c>
      <c r="Q18" s="131" t="e">
        <f>$A16</f>
        <v>#N/A</v>
      </c>
      <c r="R18" s="131">
        <v>3</v>
      </c>
      <c r="S18" s="131" t="e">
        <f>$A16</f>
        <v>#N/A</v>
      </c>
      <c r="T18" s="236"/>
      <c r="U18" s="236"/>
      <c r="V18" s="236"/>
      <c r="W18" s="236"/>
      <c r="X18" s="236"/>
      <c r="Y18" s="236"/>
      <c r="Z18" s="253"/>
      <c r="AA18" s="123"/>
      <c r="AB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</row>
    <row r="19" spans="1:50" s="131" customFormat="1" ht="13.2" customHeight="1" x14ac:dyDescent="0.35">
      <c r="A19" s="86"/>
      <c r="B19" s="86"/>
      <c r="C19" s="241" t="str">
        <f>VLOOKUP(B16,Уч!$A$2:$L$16,11,FALSE)</f>
        <v>Суханов С.М., Парфёнова С.О.</v>
      </c>
      <c r="E19" s="285" t="s">
        <v>125</v>
      </c>
      <c r="F19" s="243">
        <f>F18</f>
        <v>730</v>
      </c>
      <c r="G19" s="243">
        <f t="shared" ref="G19:L19" si="0">F19+G18</f>
        <v>730</v>
      </c>
      <c r="H19" s="243">
        <f t="shared" si="0"/>
        <v>1556</v>
      </c>
      <c r="I19" s="243">
        <f t="shared" si="0"/>
        <v>2284</v>
      </c>
      <c r="J19" s="243">
        <f t="shared" si="0"/>
        <v>2927</v>
      </c>
      <c r="K19" s="243">
        <f t="shared" si="0"/>
        <v>3569</v>
      </c>
      <c r="L19" s="240">
        <f t="shared" si="0"/>
        <v>4235</v>
      </c>
      <c r="M19" s="152"/>
      <c r="N19" s="244"/>
      <c r="O19" s="152"/>
      <c r="P19" s="243">
        <f>B16</f>
        <v>64</v>
      </c>
      <c r="Q19" s="131" t="e">
        <f>$A16</f>
        <v>#N/A</v>
      </c>
      <c r="R19" s="131">
        <v>4</v>
      </c>
      <c r="S19" s="131" t="e">
        <f>$A16</f>
        <v>#N/A</v>
      </c>
      <c r="T19" s="152">
        <f t="shared" ref="T19:Z19" si="1">F19</f>
        <v>730</v>
      </c>
      <c r="U19" s="152">
        <f t="shared" si="1"/>
        <v>730</v>
      </c>
      <c r="V19" s="152">
        <f t="shared" si="1"/>
        <v>1556</v>
      </c>
      <c r="W19" s="152">
        <f t="shared" si="1"/>
        <v>2284</v>
      </c>
      <c r="X19" s="152">
        <f t="shared" si="1"/>
        <v>2927</v>
      </c>
      <c r="Y19" s="152">
        <f t="shared" si="1"/>
        <v>3569</v>
      </c>
      <c r="Z19" s="152">
        <f t="shared" si="1"/>
        <v>4235</v>
      </c>
      <c r="AA19" s="123"/>
      <c r="AB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</row>
    <row r="20" spans="1:50" s="131" customFormat="1" ht="13.2" customHeight="1" thickBot="1" x14ac:dyDescent="0.4">
      <c r="A20" s="245"/>
      <c r="B20" s="245"/>
      <c r="C20" s="246">
        <f>VLOOKUP(B16,Уч!$A$2:$L$16,12,FALSE)</f>
        <v>0</v>
      </c>
      <c r="D20" s="247"/>
      <c r="E20" s="286" t="s">
        <v>60</v>
      </c>
      <c r="F20" s="249" t="e">
        <f>RANK(F19,$T$19:$T$50,0)</f>
        <v>#N/A</v>
      </c>
      <c r="G20" s="249" t="e">
        <f>RANK(G19,$U$19:$U$50,0)</f>
        <v>#N/A</v>
      </c>
      <c r="H20" s="249" t="e">
        <f>RANK(H19,$V$19:$V$50,0)</f>
        <v>#N/A</v>
      </c>
      <c r="I20" s="249" t="e">
        <f>RANK(I19,$W$19:$W$50,0)</f>
        <v>#N/A</v>
      </c>
      <c r="J20" s="249" t="e">
        <f>RANK(J19,$X$19:$X$50,0)</f>
        <v>#N/A</v>
      </c>
      <c r="K20" s="249" t="e">
        <f>RANK(K19,$Y$19:$Y$50,0)</f>
        <v>#N/A</v>
      </c>
      <c r="L20" s="250" t="e">
        <f>RANK(L19,$Z$19:$Z$50,0)</f>
        <v>#N/A</v>
      </c>
      <c r="M20" s="251"/>
      <c r="N20" s="252"/>
      <c r="O20" s="251"/>
      <c r="P20" s="243">
        <f>B16</f>
        <v>64</v>
      </c>
      <c r="Q20" s="131" t="e">
        <f>$A16</f>
        <v>#N/A</v>
      </c>
      <c r="R20" s="131">
        <v>5</v>
      </c>
      <c r="S20" s="131" t="e">
        <f>$A16</f>
        <v>#N/A</v>
      </c>
      <c r="T20" s="236"/>
      <c r="U20" s="236"/>
      <c r="V20" s="236"/>
      <c r="W20" s="236"/>
      <c r="X20" s="236"/>
      <c r="Y20" s="236"/>
      <c r="Z20" s="253"/>
      <c r="AA20" s="123"/>
      <c r="AB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</row>
    <row r="21" spans="1:50" s="131" customFormat="1" ht="13.2" customHeight="1" thickTop="1" x14ac:dyDescent="0.35">
      <c r="A21" s="86" t="e">
        <f>RANK(M21,$M$16:$M$50,0)</f>
        <v>#N/A</v>
      </c>
      <c r="B21" s="86">
        <v>26</v>
      </c>
      <c r="C21" s="123" t="e">
        <f>VLOOKUP(B21,Уч!$A$2:$L$16,2,FALSE)</f>
        <v>#N/A</v>
      </c>
      <c r="D21" s="231" t="e">
        <f>VLOOKUP(B21,Уч!$A$2:$L$16,3,FALSE)</f>
        <v>#N/A</v>
      </c>
      <c r="E21" s="285" t="s">
        <v>18</v>
      </c>
      <c r="F21" s="233" t="e">
        <f>VLOOKUP($B21,'110 сб '!$C$17:$I$87,5,FALSE)</f>
        <v>#N/A</v>
      </c>
      <c r="G21" s="233" t="e">
        <f>VLOOKUP($B21,высота!$C$17:$AF$42,29,FALSE)</f>
        <v>#N/A</v>
      </c>
      <c r="H21" s="233" t="e">
        <f>VLOOKUP($B21,ядро!$C$17:$K$43,8,FALSE)</f>
        <v>#N/A</v>
      </c>
      <c r="I21" s="233" t="e">
        <f>VLOOKUP($B21,'2_р'!$C$17:$I$68,5,FALSE)</f>
        <v>#N/A</v>
      </c>
      <c r="J21" s="233" t="e">
        <f>VLOOKUP($B21,Дл_р!$C$17:$O$43,11,FALSE)</f>
        <v>#N/A</v>
      </c>
      <c r="K21" s="233" t="e">
        <f>VLOOKUP($B21,К_р!$C$18:$K$31,8,FALSE)</f>
        <v>#N/A</v>
      </c>
      <c r="L21" s="234" t="e">
        <f>VLOOKUP($B21,'8_р'!$C$17:$H$77,5,FALSE)</f>
        <v>#N/A</v>
      </c>
      <c r="M21" s="152" t="e">
        <f>SUM(F23:L23)</f>
        <v>#N/A</v>
      </c>
      <c r="N21" s="86" t="e">
        <f>LOOKUP(M21,R$1:AA$1,R$2:AA$2)</f>
        <v>#N/A</v>
      </c>
      <c r="O21" s="86" t="e">
        <f>AC21+AD21+5</f>
        <v>#N/A</v>
      </c>
      <c r="P21" s="86">
        <f>B21</f>
        <v>26</v>
      </c>
      <c r="Q21" s="131" t="e">
        <f>$A21</f>
        <v>#N/A</v>
      </c>
      <c r="R21" s="131">
        <v>1</v>
      </c>
      <c r="S21" s="131" t="e">
        <f>$A21</f>
        <v>#N/A</v>
      </c>
      <c r="T21" s="236"/>
      <c r="U21" s="236"/>
      <c r="V21" s="236"/>
      <c r="W21" s="236"/>
      <c r="X21" s="236"/>
      <c r="Y21" s="236"/>
      <c r="Z21" s="236"/>
      <c r="AA21" s="123"/>
      <c r="AB21" s="86"/>
      <c r="AC21" s="131" t="e">
        <f>IF(AND(Q21&gt;16,M21&gt;=4600),"1",LOOKUP(Q21,Q$5:AH$5,Q$6:AH$6))</f>
        <v>#N/A</v>
      </c>
      <c r="AD21" s="131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</row>
    <row r="22" spans="1:50" s="131" customFormat="1" ht="13.2" customHeight="1" x14ac:dyDescent="0.35">
      <c r="A22" s="86"/>
      <c r="B22" s="86"/>
      <c r="C22" s="123" t="e">
        <f>VLOOKUP(B21,Уч!$A$2:$L$16,5,FALSE)</f>
        <v>#N/A</v>
      </c>
      <c r="D22" s="231" t="e">
        <f>VLOOKUP(B21,Уч!$A$2:$L$16,4,FALSE)</f>
        <v>#N/A</v>
      </c>
      <c r="E22" s="285" t="s">
        <v>25</v>
      </c>
      <c r="F22" s="238" t="e">
        <f>VLOOKUP($B21,'110 сб '!$C$17:$I$87,6,FALSE)</f>
        <v>#N/A</v>
      </c>
      <c r="G22" s="239"/>
      <c r="H22" s="239"/>
      <c r="I22" s="238" t="e">
        <f>VLOOKUP($B21,'2_р'!$C$17:$I$68,6,FALSE)</f>
        <v>#N/A</v>
      </c>
      <c r="J22" s="238" t="e">
        <f>VLOOKUP($B21,Дл_р!$C$17:$O$43,12,FALSE)</f>
        <v>#N/A</v>
      </c>
      <c r="K22" s="239"/>
      <c r="L22" s="240"/>
      <c r="M22" s="152"/>
      <c r="N22" s="86"/>
      <c r="O22" s="86" t="e">
        <f>CONCATENATE(AC21,"+",AD21,"+",5)</f>
        <v>#N/A</v>
      </c>
      <c r="P22" s="86">
        <f>B21</f>
        <v>26</v>
      </c>
      <c r="Q22" s="131" t="e">
        <f>$A21</f>
        <v>#N/A</v>
      </c>
      <c r="R22" s="131">
        <v>2</v>
      </c>
      <c r="S22" s="131" t="e">
        <f>$A21</f>
        <v>#N/A</v>
      </c>
      <c r="T22" s="236"/>
      <c r="U22" s="236"/>
      <c r="V22" s="236"/>
      <c r="W22" s="236"/>
      <c r="X22" s="236"/>
      <c r="Y22" s="236"/>
      <c r="Z22" s="236"/>
      <c r="AA22" s="123"/>
      <c r="AB22" s="86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</row>
    <row r="23" spans="1:50" s="123" customFormat="1" ht="13.2" customHeight="1" x14ac:dyDescent="0.35">
      <c r="A23" s="86"/>
      <c r="B23" s="86"/>
      <c r="C23" s="241" t="e">
        <f>VLOOKUP(B21,Уч!$A$2:$L$16,7,FALSE)</f>
        <v>#N/A</v>
      </c>
      <c r="D23" s="242"/>
      <c r="E23" s="285" t="s">
        <v>29</v>
      </c>
      <c r="F23" s="243" t="e">
        <f>VLOOKUP($B21,'110 сб '!$C$17:$I$87,7,FALSE)</f>
        <v>#N/A</v>
      </c>
      <c r="G23" s="243" t="e">
        <f>VLOOKUP($B21,высота!$C$17:$AF$42,30,FALSE)</f>
        <v>#N/A</v>
      </c>
      <c r="H23" s="243" t="e">
        <f>VLOOKUP($B21,ядро!$C$17:$K$43,9,FALSE)</f>
        <v>#N/A</v>
      </c>
      <c r="I23" s="243" t="e">
        <f>VLOOKUP($B21,'2_р'!$C$17:$I$68,7,FALSE)</f>
        <v>#N/A</v>
      </c>
      <c r="J23" s="243" t="e">
        <f>VLOOKUP($B21,Дл_р!$C$17:$O$43,13,FALSE)</f>
        <v>#N/A</v>
      </c>
      <c r="K23" s="243" t="e">
        <f>VLOOKUP($B21,К_р!$C$18:$K$31,9,FALSE)</f>
        <v>#N/A</v>
      </c>
      <c r="L23" s="240" t="e">
        <f>VLOOKUP($B21,'8_р'!$C$17:$H$77,6,FALSE)</f>
        <v>#N/A</v>
      </c>
      <c r="M23" s="152"/>
      <c r="N23" s="244"/>
      <c r="O23" s="152"/>
      <c r="P23" s="243">
        <f>B21</f>
        <v>26</v>
      </c>
      <c r="Q23" s="131" t="e">
        <f>$A21</f>
        <v>#N/A</v>
      </c>
      <c r="R23" s="131">
        <v>3</v>
      </c>
      <c r="S23" s="131" t="e">
        <f>$A21</f>
        <v>#N/A</v>
      </c>
      <c r="T23" s="236"/>
      <c r="U23" s="236"/>
      <c r="V23" s="236"/>
      <c r="W23" s="236"/>
      <c r="X23" s="236"/>
      <c r="Y23" s="236"/>
      <c r="Z23" s="236"/>
      <c r="AB23" s="86"/>
      <c r="AC23" s="131"/>
      <c r="AD23" s="131"/>
      <c r="AT23" s="131"/>
      <c r="AU23" s="131"/>
      <c r="AV23" s="131"/>
      <c r="AW23" s="131"/>
      <c r="AX23" s="131"/>
    </row>
    <row r="24" spans="1:50" s="123" customFormat="1" ht="13.2" customHeight="1" x14ac:dyDescent="0.35">
      <c r="A24" s="86"/>
      <c r="B24" s="86"/>
      <c r="C24" s="241" t="e">
        <f>VLOOKUP(B21,Уч!$A$2:$L$16,11,FALSE)</f>
        <v>#N/A</v>
      </c>
      <c r="D24" s="131"/>
      <c r="E24" s="285" t="s">
        <v>125</v>
      </c>
      <c r="F24" s="243" t="e">
        <f>F23</f>
        <v>#N/A</v>
      </c>
      <c r="G24" s="243" t="e">
        <f t="shared" ref="G24:L24" si="2">F24+G23</f>
        <v>#N/A</v>
      </c>
      <c r="H24" s="243" t="e">
        <f t="shared" si="2"/>
        <v>#N/A</v>
      </c>
      <c r="I24" s="243" t="e">
        <f t="shared" si="2"/>
        <v>#N/A</v>
      </c>
      <c r="J24" s="243" t="e">
        <f t="shared" si="2"/>
        <v>#N/A</v>
      </c>
      <c r="K24" s="243" t="e">
        <f t="shared" si="2"/>
        <v>#N/A</v>
      </c>
      <c r="L24" s="240" t="e">
        <f t="shared" si="2"/>
        <v>#N/A</v>
      </c>
      <c r="M24" s="152"/>
      <c r="N24" s="244"/>
      <c r="O24" s="152"/>
      <c r="P24" s="243">
        <f>B21</f>
        <v>26</v>
      </c>
      <c r="Q24" s="131" t="e">
        <f>$A21</f>
        <v>#N/A</v>
      </c>
      <c r="R24" s="131">
        <v>4</v>
      </c>
      <c r="S24" s="131" t="e">
        <f>$A21</f>
        <v>#N/A</v>
      </c>
      <c r="T24" s="152" t="e">
        <f t="shared" ref="T24:Z24" si="3">F24</f>
        <v>#N/A</v>
      </c>
      <c r="U24" s="152" t="e">
        <f t="shared" si="3"/>
        <v>#N/A</v>
      </c>
      <c r="V24" s="152" t="e">
        <f t="shared" si="3"/>
        <v>#N/A</v>
      </c>
      <c r="W24" s="152" t="e">
        <f t="shared" si="3"/>
        <v>#N/A</v>
      </c>
      <c r="X24" s="152" t="e">
        <f t="shared" si="3"/>
        <v>#N/A</v>
      </c>
      <c r="Y24" s="152" t="e">
        <f t="shared" si="3"/>
        <v>#N/A</v>
      </c>
      <c r="Z24" s="152" t="e">
        <f t="shared" si="3"/>
        <v>#N/A</v>
      </c>
      <c r="AB24" s="86"/>
      <c r="AC24" s="131"/>
      <c r="AD24" s="131"/>
      <c r="AT24" s="131"/>
      <c r="AU24" s="131"/>
      <c r="AV24" s="131"/>
      <c r="AW24" s="131"/>
      <c r="AX24" s="131"/>
    </row>
    <row r="25" spans="1:50" s="123" customFormat="1" ht="13.2" customHeight="1" thickBot="1" x14ac:dyDescent="0.4">
      <c r="A25" s="245"/>
      <c r="B25" s="245"/>
      <c r="C25" s="246" t="e">
        <f>VLOOKUP(B21,Уч!$A$2:$L$16,12,FALSE)</f>
        <v>#N/A</v>
      </c>
      <c r="D25" s="247"/>
      <c r="E25" s="286" t="s">
        <v>60</v>
      </c>
      <c r="F25" s="249" t="e">
        <f>RANK(F24,$T$19:$T$50,0)</f>
        <v>#N/A</v>
      </c>
      <c r="G25" s="249" t="e">
        <f>RANK(G24,$U$19:$U$50,0)</f>
        <v>#N/A</v>
      </c>
      <c r="H25" s="249" t="e">
        <f>RANK(H24,$V$19:$V$50,0)</f>
        <v>#N/A</v>
      </c>
      <c r="I25" s="249" t="e">
        <f>RANK(I24,$W$19:$W$50,0)</f>
        <v>#N/A</v>
      </c>
      <c r="J25" s="249" t="e">
        <f>RANK(J24,$X$19:$X$50,0)</f>
        <v>#N/A</v>
      </c>
      <c r="K25" s="249" t="e">
        <f>RANK(K24,$Y$19:$Y$50,0)</f>
        <v>#N/A</v>
      </c>
      <c r="L25" s="250" t="e">
        <f>RANK(L24,$Z$19:$Z$50,0)</f>
        <v>#N/A</v>
      </c>
      <c r="M25" s="251"/>
      <c r="N25" s="252"/>
      <c r="O25" s="251"/>
      <c r="P25" s="243">
        <f>B21</f>
        <v>26</v>
      </c>
      <c r="Q25" s="131" t="e">
        <f>$A21</f>
        <v>#N/A</v>
      </c>
      <c r="R25" s="131">
        <v>5</v>
      </c>
      <c r="S25" s="131" t="e">
        <f>$A21</f>
        <v>#N/A</v>
      </c>
      <c r="T25" s="236"/>
      <c r="U25" s="236"/>
      <c r="V25" s="236"/>
      <c r="W25" s="236"/>
      <c r="X25" s="236"/>
      <c r="Y25" s="236"/>
      <c r="Z25" s="236"/>
      <c r="AB25" s="86"/>
      <c r="AC25" s="131"/>
      <c r="AD25" s="131"/>
      <c r="AT25" s="131"/>
      <c r="AU25" s="131"/>
      <c r="AV25" s="131"/>
      <c r="AW25" s="131"/>
      <c r="AX25" s="131"/>
    </row>
    <row r="26" spans="1:50" s="123" customFormat="1" ht="13.2" customHeight="1" thickTop="1" x14ac:dyDescent="0.35">
      <c r="A26" s="86" t="e">
        <f>RANK(M26,$M$16:$M$50,0)</f>
        <v>#N/A</v>
      </c>
      <c r="B26" s="86">
        <v>73</v>
      </c>
      <c r="C26" s="123" t="e">
        <f>VLOOKUP(B26,Уч!$A$2:$L$16,2,FALSE)</f>
        <v>#N/A</v>
      </c>
      <c r="D26" s="231" t="e">
        <f>VLOOKUP(B26,Уч!$A$2:$L$16,3,FALSE)</f>
        <v>#N/A</v>
      </c>
      <c r="E26" s="285" t="s">
        <v>18</v>
      </c>
      <c r="F26" s="233" t="e">
        <f>VLOOKUP($B26,'110 сб '!$C$17:$I$87,5,FALSE)</f>
        <v>#N/A</v>
      </c>
      <c r="G26" s="233" t="e">
        <f>VLOOKUP($B26,высота!$C$17:$AF$42,29,FALSE)</f>
        <v>#N/A</v>
      </c>
      <c r="H26" s="233" t="e">
        <f>VLOOKUP($B26,ядро!$C$17:$K$43,8,FALSE)</f>
        <v>#N/A</v>
      </c>
      <c r="I26" s="233" t="e">
        <f>VLOOKUP($B26,'2_р'!$C$17:$I$68,5,FALSE)</f>
        <v>#N/A</v>
      </c>
      <c r="J26" s="233" t="e">
        <f>VLOOKUP($B26,Дл_р!$C$17:$O$43,11,FALSE)</f>
        <v>#N/A</v>
      </c>
      <c r="K26" s="233" t="e">
        <f>VLOOKUP($B26,К_р!$C$18:$K$31,8,FALSE)</f>
        <v>#N/A</v>
      </c>
      <c r="L26" s="234" t="e">
        <f>VLOOKUP($B26,'8_р'!$C$17:$H$77,5,FALSE)</f>
        <v>#N/A</v>
      </c>
      <c r="M26" s="152" t="e">
        <f>SUM(F28:L28)</f>
        <v>#N/A</v>
      </c>
      <c r="N26" s="86" t="e">
        <f>LOOKUP(M26,R$1:AA$1,R$2:AA$2)</f>
        <v>#N/A</v>
      </c>
      <c r="O26" s="86" t="e">
        <f>AC26+AD26+5</f>
        <v>#N/A</v>
      </c>
      <c r="P26" s="86">
        <f>B26</f>
        <v>73</v>
      </c>
      <c r="Q26" s="131" t="e">
        <f>$A26</f>
        <v>#N/A</v>
      </c>
      <c r="R26" s="131">
        <v>1</v>
      </c>
      <c r="S26" s="131" t="e">
        <f>$A26</f>
        <v>#N/A</v>
      </c>
      <c r="T26" s="236"/>
      <c r="U26" s="236"/>
      <c r="V26" s="236"/>
      <c r="W26" s="236"/>
      <c r="X26" s="236"/>
      <c r="Y26" s="236"/>
      <c r="Z26" s="236"/>
      <c r="AA26" s="86"/>
      <c r="AB26" s="86"/>
      <c r="AC26" s="131" t="e">
        <f>IF(AND(Q26&gt;16,M26&gt;=4600),"1",LOOKUP(Q26,Q$5:AH$5,Q$6:AH$6))</f>
        <v>#N/A</v>
      </c>
      <c r="AD26" s="131" t="e">
        <f>LOOKUP(N26,R$8:W$8,R$9:W$9)</f>
        <v>#N/A</v>
      </c>
      <c r="AE26" s="210" t="s">
        <v>89</v>
      </c>
      <c r="AF26" s="211" t="s">
        <v>90</v>
      </c>
      <c r="AG26" s="210">
        <v>4000</v>
      </c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</row>
    <row r="27" spans="1:50" s="123" customFormat="1" ht="13.2" customHeight="1" x14ac:dyDescent="0.35">
      <c r="A27" s="86"/>
      <c r="B27" s="86"/>
      <c r="C27" s="123" t="e">
        <f>VLOOKUP(B26,Уч!$A$2:$L$16,5,FALSE)</f>
        <v>#N/A</v>
      </c>
      <c r="D27" s="231" t="e">
        <f>VLOOKUP(B26,Уч!$A$2:$L$16,4,FALSE)</f>
        <v>#N/A</v>
      </c>
      <c r="E27" s="285" t="s">
        <v>25</v>
      </c>
      <c r="F27" s="238" t="e">
        <f>VLOOKUP($B26,'110 сб '!$C$17:$I$87,6,FALSE)</f>
        <v>#N/A</v>
      </c>
      <c r="G27" s="239"/>
      <c r="H27" s="239"/>
      <c r="I27" s="238" t="e">
        <f>VLOOKUP($B26,'2_р'!$C$17:$I$68,6,FALSE)</f>
        <v>#N/A</v>
      </c>
      <c r="J27" s="238" t="e">
        <f>VLOOKUP($B26,Дл_р!$C$17:$O$43,12,FALSE)</f>
        <v>#N/A</v>
      </c>
      <c r="K27" s="239"/>
      <c r="L27" s="240"/>
      <c r="M27" s="152"/>
      <c r="N27" s="86"/>
      <c r="O27" s="86" t="e">
        <f>CONCATENATE(AC26,"+",AD26,"+",5)</f>
        <v>#N/A</v>
      </c>
      <c r="P27" s="86">
        <f>B26</f>
        <v>73</v>
      </c>
      <c r="Q27" s="131" t="e">
        <f>$A26</f>
        <v>#N/A</v>
      </c>
      <c r="R27" s="131">
        <v>2</v>
      </c>
      <c r="S27" s="131" t="e">
        <f>$A26</f>
        <v>#N/A</v>
      </c>
      <c r="T27" s="236"/>
      <c r="U27" s="236"/>
      <c r="V27" s="236"/>
      <c r="W27" s="236"/>
      <c r="X27" s="236"/>
      <c r="Y27" s="236"/>
      <c r="Z27" s="236"/>
      <c r="AA27" s="131"/>
      <c r="AB27" s="86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</row>
    <row r="28" spans="1:50" s="123" customFormat="1" ht="13.2" customHeight="1" x14ac:dyDescent="0.35">
      <c r="A28" s="86"/>
      <c r="B28" s="86"/>
      <c r="C28" s="241" t="e">
        <f>VLOOKUP(B26,Уч!$A$2:$L$16,7,FALSE)</f>
        <v>#N/A</v>
      </c>
      <c r="D28" s="242"/>
      <c r="E28" s="285" t="s">
        <v>29</v>
      </c>
      <c r="F28" s="243" t="e">
        <f>VLOOKUP($B26,'110 сб '!$C$17:$I$87,7,FALSE)</f>
        <v>#N/A</v>
      </c>
      <c r="G28" s="243" t="e">
        <f>VLOOKUP($B26,высота!$C$17:$AF$42,30,FALSE)</f>
        <v>#N/A</v>
      </c>
      <c r="H28" s="243" t="e">
        <f>VLOOKUP($B26,ядро!$C$17:$K$43,9,FALSE)</f>
        <v>#N/A</v>
      </c>
      <c r="I28" s="243" t="e">
        <f>VLOOKUP($B26,'2_р'!$C$17:$I$68,7,FALSE)</f>
        <v>#N/A</v>
      </c>
      <c r="J28" s="243" t="e">
        <f>VLOOKUP($B26,Дл_р!$C$17:$O$43,13,FALSE)</f>
        <v>#N/A</v>
      </c>
      <c r="K28" s="243" t="e">
        <f>VLOOKUP($B26,К_р!$C$18:$K$31,9,FALSE)</f>
        <v>#N/A</v>
      </c>
      <c r="L28" s="240" t="e">
        <f>VLOOKUP($B26,'8_р'!$C$17:$H$77,6,FALSE)</f>
        <v>#N/A</v>
      </c>
      <c r="M28" s="152"/>
      <c r="N28" s="244"/>
      <c r="O28" s="152"/>
      <c r="P28" s="243">
        <f>B26</f>
        <v>73</v>
      </c>
      <c r="Q28" s="131" t="e">
        <f>$A26</f>
        <v>#N/A</v>
      </c>
      <c r="R28" s="131">
        <v>3</v>
      </c>
      <c r="S28" s="131" t="e">
        <f>$A26</f>
        <v>#N/A</v>
      </c>
      <c r="T28" s="236"/>
      <c r="U28" s="236"/>
      <c r="V28" s="236"/>
      <c r="W28" s="236"/>
      <c r="X28" s="236"/>
      <c r="Y28" s="236"/>
      <c r="Z28" s="236"/>
      <c r="AA28" s="86"/>
      <c r="AB28" s="86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</row>
    <row r="29" spans="1:50" s="123" customFormat="1" ht="13.2" customHeight="1" x14ac:dyDescent="0.35">
      <c r="A29" s="86"/>
      <c r="B29" s="86"/>
      <c r="C29" s="241" t="e">
        <f>VLOOKUP(B26,Уч!$A$2:$L$16,11,FALSE)</f>
        <v>#N/A</v>
      </c>
      <c r="D29" s="131"/>
      <c r="E29" s="285" t="s">
        <v>125</v>
      </c>
      <c r="F29" s="243" t="e">
        <f>F28</f>
        <v>#N/A</v>
      </c>
      <c r="G29" s="243" t="e">
        <f t="shared" ref="G29:L29" si="4">F29+G28</f>
        <v>#N/A</v>
      </c>
      <c r="H29" s="243" t="e">
        <f t="shared" si="4"/>
        <v>#N/A</v>
      </c>
      <c r="I29" s="243" t="e">
        <f t="shared" si="4"/>
        <v>#N/A</v>
      </c>
      <c r="J29" s="243" t="e">
        <f t="shared" si="4"/>
        <v>#N/A</v>
      </c>
      <c r="K29" s="243" t="e">
        <f t="shared" si="4"/>
        <v>#N/A</v>
      </c>
      <c r="L29" s="240" t="e">
        <f t="shared" si="4"/>
        <v>#N/A</v>
      </c>
      <c r="M29" s="152"/>
      <c r="N29" s="244"/>
      <c r="O29" s="152"/>
      <c r="P29" s="243">
        <f>B26</f>
        <v>73</v>
      </c>
      <c r="Q29" s="131" t="e">
        <f>$A26</f>
        <v>#N/A</v>
      </c>
      <c r="R29" s="131">
        <v>4</v>
      </c>
      <c r="S29" s="131" t="e">
        <f>$A26</f>
        <v>#N/A</v>
      </c>
      <c r="T29" s="152" t="e">
        <f t="shared" ref="T29:Z29" si="5">F29</f>
        <v>#N/A</v>
      </c>
      <c r="U29" s="152" t="e">
        <f t="shared" si="5"/>
        <v>#N/A</v>
      </c>
      <c r="V29" s="152" t="e">
        <f t="shared" si="5"/>
        <v>#N/A</v>
      </c>
      <c r="W29" s="152" t="e">
        <f t="shared" si="5"/>
        <v>#N/A</v>
      </c>
      <c r="X29" s="152" t="e">
        <f t="shared" si="5"/>
        <v>#N/A</v>
      </c>
      <c r="Y29" s="152" t="e">
        <f t="shared" si="5"/>
        <v>#N/A</v>
      </c>
      <c r="Z29" s="152" t="e">
        <f t="shared" si="5"/>
        <v>#N/A</v>
      </c>
      <c r="AA29" s="86"/>
      <c r="AB29" s="86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</row>
    <row r="30" spans="1:50" s="123" customFormat="1" ht="13.2" customHeight="1" thickBot="1" x14ac:dyDescent="0.4">
      <c r="A30" s="245"/>
      <c r="B30" s="245"/>
      <c r="C30" s="246" t="e">
        <f>VLOOKUP(B26,Уч!$A$2:$L$16,12,FALSE)</f>
        <v>#N/A</v>
      </c>
      <c r="D30" s="247"/>
      <c r="E30" s="286" t="s">
        <v>60</v>
      </c>
      <c r="F30" s="249" t="e">
        <f>RANK(F29,$T$19:$T$50,0)</f>
        <v>#N/A</v>
      </c>
      <c r="G30" s="249" t="e">
        <f>RANK(G29,$U$19:$U$50,0)</f>
        <v>#N/A</v>
      </c>
      <c r="H30" s="249" t="e">
        <f>RANK(H29,$V$19:$V$50,0)</f>
        <v>#N/A</v>
      </c>
      <c r="I30" s="249" t="e">
        <f>RANK(I29,$W$19:$W$50,0)</f>
        <v>#N/A</v>
      </c>
      <c r="J30" s="249" t="e">
        <f>RANK(J29,$X$19:$X$50,0)</f>
        <v>#N/A</v>
      </c>
      <c r="K30" s="249" t="e">
        <f>RANK(K29,$Y$19:$Y$50,0)</f>
        <v>#N/A</v>
      </c>
      <c r="L30" s="250" t="e">
        <f>RANK(L29,$Z$19:$Z$50,0)</f>
        <v>#N/A</v>
      </c>
      <c r="M30" s="251"/>
      <c r="N30" s="252"/>
      <c r="O30" s="251"/>
      <c r="P30" s="243">
        <f>B26</f>
        <v>73</v>
      </c>
      <c r="Q30" s="131" t="e">
        <f>$A26</f>
        <v>#N/A</v>
      </c>
      <c r="R30" s="131">
        <v>5</v>
      </c>
      <c r="S30" s="131" t="e">
        <f>$A26</f>
        <v>#N/A</v>
      </c>
      <c r="T30" s="236"/>
      <c r="U30" s="236"/>
      <c r="V30" s="236"/>
      <c r="W30" s="236"/>
      <c r="X30" s="236"/>
      <c r="Y30" s="236"/>
      <c r="Z30" s="236"/>
      <c r="AA30" s="86"/>
      <c r="AB30" s="86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</row>
    <row r="31" spans="1:50" s="123" customFormat="1" ht="13.2" customHeight="1" thickTop="1" x14ac:dyDescent="0.35">
      <c r="A31" s="86" t="e">
        <f>RANK(M31,$M$16:$M$50,0)</f>
        <v>#N/A</v>
      </c>
      <c r="B31" s="86">
        <v>37</v>
      </c>
      <c r="C31" s="123" t="e">
        <f>VLOOKUP(B31,Уч!$A$2:$L$16,2,FALSE)</f>
        <v>#N/A</v>
      </c>
      <c r="D31" s="231" t="e">
        <f>VLOOKUP(B31,Уч!$A$2:$L$16,3,FALSE)</f>
        <v>#N/A</v>
      </c>
      <c r="E31" s="285" t="s">
        <v>18</v>
      </c>
      <c r="F31" s="233" t="e">
        <f>VLOOKUP($B31,'110 сб '!$C$17:$I$87,5,FALSE)</f>
        <v>#N/A</v>
      </c>
      <c r="G31" s="233" t="e">
        <f>VLOOKUP($B31,высота!$C$17:$AF$42,29,FALSE)</f>
        <v>#N/A</v>
      </c>
      <c r="H31" s="233" t="e">
        <f>VLOOKUP($B31,ядро!$C$17:$K$43,8,FALSE)</f>
        <v>#N/A</v>
      </c>
      <c r="I31" s="233">
        <f>VLOOKUP($B31,'2_р'!$C$17:$I$68,5,FALSE)</f>
        <v>24.78</v>
      </c>
      <c r="J31" s="233">
        <f>VLOOKUP($B31,Дл_р!$C$17:$O$43,11,FALSE)</f>
        <v>5.92</v>
      </c>
      <c r="K31" s="233">
        <f>VLOOKUP($B31,К_р!$C$18:$K$31,8,FALSE)</f>
        <v>39.270000000000003</v>
      </c>
      <c r="L31" s="234" t="str">
        <f>VLOOKUP($B31,'8_р'!$C$17:$H$77,5,FALSE)</f>
        <v>2:16.34</v>
      </c>
      <c r="M31" s="15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37</v>
      </c>
      <c r="Q31" s="131" t="e">
        <f>$A31</f>
        <v>#N/A</v>
      </c>
      <c r="R31" s="131">
        <v>1</v>
      </c>
      <c r="S31" s="131" t="e">
        <f>$A31</f>
        <v>#N/A</v>
      </c>
      <c r="T31" s="236"/>
      <c r="U31" s="236"/>
      <c r="V31" s="236"/>
      <c r="W31" s="236"/>
      <c r="X31" s="236"/>
      <c r="Y31" s="236"/>
      <c r="Z31" s="236"/>
      <c r="AC31" s="131" t="e">
        <f>IF(AND(Q31&gt;16,M31&gt;=4600),"1",LOOKUP(Q31,Q$5:AH$5,Q$6:AH$6))</f>
        <v>#N/A</v>
      </c>
      <c r="AD31" s="131" t="e">
        <f>LOOKUP(N31,R$8:W$8,R$9:W$9)</f>
        <v>#N/A</v>
      </c>
    </row>
    <row r="32" spans="1:50" s="123" customFormat="1" ht="13.2" customHeight="1" x14ac:dyDescent="0.35">
      <c r="A32" s="86"/>
      <c r="B32" s="86"/>
      <c r="C32" s="123" t="e">
        <f>VLOOKUP(B31,Уч!$A$2:$L$16,5,FALSE)</f>
        <v>#N/A</v>
      </c>
      <c r="D32" s="86" t="e">
        <f>VLOOKUP(B31,Уч!$A$2:$L$16,4,FALSE)</f>
        <v>#N/A</v>
      </c>
      <c r="E32" s="285" t="s">
        <v>25</v>
      </c>
      <c r="F32" s="238" t="e">
        <f>VLOOKUP($B31,'110 сб '!$C$17:$I$87,6,FALSE)</f>
        <v>#N/A</v>
      </c>
      <c r="G32" s="239"/>
      <c r="H32" s="239"/>
      <c r="I32" s="238">
        <f>VLOOKUP($B31,'2_р'!$C$17:$I$68,6,FALSE)</f>
        <v>1.2</v>
      </c>
      <c r="J32" s="238">
        <f>VLOOKUP($B31,Дл_р!$C$17:$O$43,12,FALSE)</f>
        <v>-1</v>
      </c>
      <c r="K32" s="239"/>
      <c r="L32" s="240"/>
      <c r="M32" s="152"/>
      <c r="N32" s="86"/>
      <c r="O32" s="86" t="e">
        <f>CONCATENATE(AC31,"+",AD31,"+",5)</f>
        <v>#N/A</v>
      </c>
      <c r="P32" s="86">
        <f>B31</f>
        <v>37</v>
      </c>
      <c r="Q32" s="131" t="e">
        <f>$A31</f>
        <v>#N/A</v>
      </c>
      <c r="R32" s="131">
        <v>2</v>
      </c>
      <c r="S32" s="131" t="e">
        <f>$A31</f>
        <v>#N/A</v>
      </c>
      <c r="T32" s="236"/>
      <c r="U32" s="236"/>
      <c r="V32" s="236"/>
      <c r="W32" s="236"/>
      <c r="X32" s="236"/>
      <c r="Y32" s="236"/>
      <c r="Z32" s="236"/>
      <c r="AC32" s="131"/>
      <c r="AD32" s="131"/>
    </row>
    <row r="33" spans="1:50" s="123" customFormat="1" ht="13.2" customHeight="1" x14ac:dyDescent="0.35">
      <c r="A33" s="86"/>
      <c r="B33" s="86"/>
      <c r="C33" s="241" t="e">
        <f>VLOOKUP(B31,Уч!$A$2:$L$16,7,FALSE)</f>
        <v>#N/A</v>
      </c>
      <c r="D33" s="242"/>
      <c r="E33" s="285" t="s">
        <v>29</v>
      </c>
      <c r="F33" s="243" t="e">
        <f>VLOOKUP($B31,'110 сб '!$C$17:$I$87,7,FALSE)</f>
        <v>#N/A</v>
      </c>
      <c r="G33" s="243" t="e">
        <f>VLOOKUP($B31,высота!$C$17:$AF$42,30,FALSE)</f>
        <v>#N/A</v>
      </c>
      <c r="H33" s="243" t="e">
        <f>VLOOKUP($B31,ядро!$C$17:$K$43,9,FALSE)</f>
        <v>#N/A</v>
      </c>
      <c r="I33" s="243">
        <f>VLOOKUP($B31,'2_р'!$C$17:$I$68,7,FALSE)</f>
        <v>907</v>
      </c>
      <c r="J33" s="243">
        <f>VLOOKUP($B31,Дл_р!$C$17:$O$43,13,FALSE)</f>
        <v>825</v>
      </c>
      <c r="K33" s="243">
        <f>VLOOKUP($B31,К_р!$C$18:$K$31,9,FALSE)</f>
        <v>653</v>
      </c>
      <c r="L33" s="240">
        <f>VLOOKUP($B31,'8_р'!$C$17:$H$77,6,FALSE)</f>
        <v>874</v>
      </c>
      <c r="M33" s="152"/>
      <c r="N33" s="244"/>
      <c r="O33" s="152"/>
      <c r="P33" s="243">
        <f>B31</f>
        <v>37</v>
      </c>
      <c r="Q33" s="131" t="e">
        <f>$A31</f>
        <v>#N/A</v>
      </c>
      <c r="R33" s="131">
        <v>3</v>
      </c>
      <c r="S33" s="131" t="e">
        <f>$A31</f>
        <v>#N/A</v>
      </c>
      <c r="T33" s="236"/>
      <c r="U33" s="236"/>
      <c r="V33" s="236"/>
      <c r="W33" s="236"/>
      <c r="X33" s="236"/>
      <c r="Y33" s="236"/>
      <c r="Z33" s="236"/>
      <c r="AB33" s="86"/>
      <c r="AC33" s="131"/>
      <c r="AD33" s="131"/>
    </row>
    <row r="34" spans="1:50" s="123" customFormat="1" ht="13.2" customHeight="1" x14ac:dyDescent="0.35">
      <c r="A34" s="86"/>
      <c r="B34" s="86"/>
      <c r="C34" s="241" t="e">
        <f>VLOOKUP(B31,Уч!$A$2:$L$16,11,FALSE)</f>
        <v>#N/A</v>
      </c>
      <c r="D34" s="131"/>
      <c r="E34" s="285" t="s">
        <v>125</v>
      </c>
      <c r="F34" s="243" t="e">
        <f>F33</f>
        <v>#N/A</v>
      </c>
      <c r="G34" s="243" t="e">
        <f t="shared" ref="G34:L34" si="6">F34+G33</f>
        <v>#N/A</v>
      </c>
      <c r="H34" s="243" t="e">
        <f t="shared" si="6"/>
        <v>#N/A</v>
      </c>
      <c r="I34" s="243" t="e">
        <f t="shared" si="6"/>
        <v>#N/A</v>
      </c>
      <c r="J34" s="243" t="e">
        <f t="shared" si="6"/>
        <v>#N/A</v>
      </c>
      <c r="K34" s="243" t="e">
        <f t="shared" si="6"/>
        <v>#N/A</v>
      </c>
      <c r="L34" s="240" t="e">
        <f t="shared" si="6"/>
        <v>#N/A</v>
      </c>
      <c r="M34" s="152"/>
      <c r="N34" s="244"/>
      <c r="O34" s="152"/>
      <c r="P34" s="243">
        <f>B31</f>
        <v>37</v>
      </c>
      <c r="Q34" s="131" t="e">
        <f>$A31</f>
        <v>#N/A</v>
      </c>
      <c r="R34" s="131">
        <v>4</v>
      </c>
      <c r="S34" s="131" t="e">
        <f>$A31</f>
        <v>#N/A</v>
      </c>
      <c r="T34" s="152" t="e">
        <f t="shared" ref="T34:Z34" si="7">F34</f>
        <v>#N/A</v>
      </c>
      <c r="U34" s="152" t="e">
        <f t="shared" si="7"/>
        <v>#N/A</v>
      </c>
      <c r="V34" s="152" t="e">
        <f t="shared" si="7"/>
        <v>#N/A</v>
      </c>
      <c r="W34" s="152" t="e">
        <f t="shared" si="7"/>
        <v>#N/A</v>
      </c>
      <c r="X34" s="152" t="e">
        <f t="shared" si="7"/>
        <v>#N/A</v>
      </c>
      <c r="Y34" s="152" t="e">
        <f t="shared" si="7"/>
        <v>#N/A</v>
      </c>
      <c r="Z34" s="152" t="e">
        <f t="shared" si="7"/>
        <v>#N/A</v>
      </c>
      <c r="AB34" s="86"/>
      <c r="AC34" s="131"/>
      <c r="AD34" s="131"/>
    </row>
    <row r="35" spans="1:50" s="123" customFormat="1" ht="13.2" customHeight="1" thickBot="1" x14ac:dyDescent="0.4">
      <c r="A35" s="245"/>
      <c r="B35" s="245"/>
      <c r="C35" s="246" t="e">
        <f>VLOOKUP(B31,Уч!$A$2:$L$16,12,FALSE)</f>
        <v>#N/A</v>
      </c>
      <c r="D35" s="247"/>
      <c r="E35" s="286" t="s">
        <v>60</v>
      </c>
      <c r="F35" s="249" t="e">
        <f>RANK(F34,$T$19:$T$50,0)</f>
        <v>#N/A</v>
      </c>
      <c r="G35" s="249" t="e">
        <f>RANK(G34,$U$19:$U$50,0)</f>
        <v>#N/A</v>
      </c>
      <c r="H35" s="249" t="e">
        <f>RANK(H34,$V$19:$V$50,0)</f>
        <v>#N/A</v>
      </c>
      <c r="I35" s="249" t="e">
        <f>RANK(I34,$W$19:$W$50,0)</f>
        <v>#N/A</v>
      </c>
      <c r="J35" s="249" t="e">
        <f>RANK(J34,$X$19:$X$50,0)</f>
        <v>#N/A</v>
      </c>
      <c r="K35" s="249" t="e">
        <f>RANK(K34,$Y$19:$Y$50,0)</f>
        <v>#N/A</v>
      </c>
      <c r="L35" s="250" t="e">
        <f>RANK(L34,$Z$19:$Z$50,0)</f>
        <v>#N/A</v>
      </c>
      <c r="M35" s="251"/>
      <c r="N35" s="252"/>
      <c r="O35" s="251"/>
      <c r="P35" s="243">
        <f>B31</f>
        <v>37</v>
      </c>
      <c r="Q35" s="131" t="e">
        <f>$A31</f>
        <v>#N/A</v>
      </c>
      <c r="R35" s="131">
        <v>5</v>
      </c>
      <c r="S35" s="131" t="e">
        <f>$A31</f>
        <v>#N/A</v>
      </c>
      <c r="T35" s="236"/>
      <c r="U35" s="236"/>
      <c r="V35" s="236"/>
      <c r="W35" s="236"/>
      <c r="X35" s="236"/>
      <c r="Y35" s="236"/>
      <c r="Z35" s="236"/>
      <c r="AB35" s="86"/>
      <c r="AC35" s="131"/>
      <c r="AD35" s="131"/>
    </row>
    <row r="36" spans="1:50" s="123" customFormat="1" ht="13.2" customHeight="1" thickTop="1" x14ac:dyDescent="0.35">
      <c r="A36" s="86" t="e">
        <f>RANK(M36,$M$16:$M$50,0)</f>
        <v>#N/A</v>
      </c>
      <c r="B36" s="86">
        <v>17</v>
      </c>
      <c r="C36" s="123" t="e">
        <f>VLOOKUP(B36,Уч!$A$2:$L$16,2,FALSE)</f>
        <v>#N/A</v>
      </c>
      <c r="D36" s="231" t="e">
        <f>VLOOKUP(B36,Уч!$A$2:$L$16,3,FALSE)</f>
        <v>#N/A</v>
      </c>
      <c r="E36" s="285" t="s">
        <v>18</v>
      </c>
      <c r="F36" s="233" t="e">
        <f>VLOOKUP($B36,'110 сб '!$C$17:$I$87,5,FALSE)</f>
        <v>#N/A</v>
      </c>
      <c r="G36" s="233" t="e">
        <f>VLOOKUP($B36,высота!$C$17:$AF$42,29,FALSE)</f>
        <v>#N/A</v>
      </c>
      <c r="H36" s="233" t="e">
        <f>VLOOKUP($B36,ядро!$C$17:$K$43,8,FALSE)</f>
        <v>#N/A</v>
      </c>
      <c r="I36" s="233" t="e">
        <f>VLOOKUP($B36,'2_р'!$C$17:$I$68,5,FALSE)</f>
        <v>#N/A</v>
      </c>
      <c r="J36" s="233" t="e">
        <f>VLOOKUP($B36,Дл_р!$C$17:$O$43,11,FALSE)</f>
        <v>#N/A</v>
      </c>
      <c r="K36" s="233" t="e">
        <f>VLOOKUP($B36,К_р!$C$18:$K$31,8,FALSE)</f>
        <v>#N/A</v>
      </c>
      <c r="L36" s="234" t="e">
        <f>VLOOKUP($B36,'8_р'!$C$17:$H$77,5,FALSE)</f>
        <v>#N/A</v>
      </c>
      <c r="M36" s="152" t="e">
        <f>SUM(F38:L38)</f>
        <v>#N/A</v>
      </c>
      <c r="N36" s="86" t="e">
        <f>LOOKUP(M36,R$1:AA$1,R$2:AA$2)</f>
        <v>#N/A</v>
      </c>
      <c r="O36" s="86" t="e">
        <f>AC36+AD36+5</f>
        <v>#N/A</v>
      </c>
      <c r="P36" s="86">
        <f>B36</f>
        <v>17</v>
      </c>
      <c r="Q36" s="131" t="e">
        <f>$A36</f>
        <v>#N/A</v>
      </c>
      <c r="R36" s="131">
        <v>1</v>
      </c>
      <c r="S36" s="131" t="e">
        <f>$A36</f>
        <v>#N/A</v>
      </c>
      <c r="T36" s="236"/>
      <c r="U36" s="236"/>
      <c r="V36" s="236"/>
      <c r="W36" s="236"/>
      <c r="X36" s="236"/>
      <c r="Y36" s="236"/>
      <c r="Z36" s="236"/>
      <c r="AC36" s="131" t="e">
        <f>IF(AND(Q36&gt;16,M36&gt;=4600),"1",LOOKUP(Q36,Q$5:AH$5,Q$6:AH$6))</f>
        <v>#N/A</v>
      </c>
      <c r="AD36" s="131" t="e">
        <f>LOOKUP(N36,R$8:W$8,R$9:W$9)</f>
        <v>#N/A</v>
      </c>
    </row>
    <row r="37" spans="1:50" s="123" customFormat="1" ht="13.2" customHeight="1" x14ac:dyDescent="0.35">
      <c r="A37" s="86"/>
      <c r="B37" s="86"/>
      <c r="C37" s="123" t="e">
        <f>VLOOKUP(B36,Уч!$A$2:$L$16,5,FALSE)</f>
        <v>#N/A</v>
      </c>
      <c r="D37" s="231" t="e">
        <f>VLOOKUP(B36,Уч!$A$2:$L$16,4,FALSE)</f>
        <v>#N/A</v>
      </c>
      <c r="E37" s="285" t="s">
        <v>25</v>
      </c>
      <c r="F37" s="238" t="e">
        <f>VLOOKUP($B36,'110 сб '!$C$17:$I$87,6,FALSE)</f>
        <v>#N/A</v>
      </c>
      <c r="G37" s="239"/>
      <c r="H37" s="239"/>
      <c r="I37" s="238" t="e">
        <f>VLOOKUP($B36,'2_р'!$C$17:$I$68,6,FALSE)</f>
        <v>#N/A</v>
      </c>
      <c r="J37" s="238" t="e">
        <f>VLOOKUP($B36,Дл_р!$C$17:$O$43,12,FALSE)</f>
        <v>#N/A</v>
      </c>
      <c r="K37" s="239"/>
      <c r="L37" s="240"/>
      <c r="M37" s="152"/>
      <c r="N37" s="86"/>
      <c r="O37" s="86" t="e">
        <f>CONCATENATE(AC36,"+",AD36,"+",5)</f>
        <v>#N/A</v>
      </c>
      <c r="P37" s="86">
        <f>B36</f>
        <v>17</v>
      </c>
      <c r="Q37" s="131" t="e">
        <f>$A36</f>
        <v>#N/A</v>
      </c>
      <c r="R37" s="131">
        <v>2</v>
      </c>
      <c r="S37" s="131" t="e">
        <f>$A36</f>
        <v>#N/A</v>
      </c>
      <c r="T37" s="236"/>
      <c r="U37" s="236"/>
      <c r="V37" s="236"/>
      <c r="W37" s="236"/>
      <c r="X37" s="236"/>
      <c r="Y37" s="236"/>
      <c r="Z37" s="236"/>
      <c r="AC37" s="131"/>
      <c r="AD37" s="131"/>
    </row>
    <row r="38" spans="1:50" s="123" customFormat="1" ht="13.2" customHeight="1" x14ac:dyDescent="0.35">
      <c r="A38" s="86"/>
      <c r="B38" s="86"/>
      <c r="C38" s="241" t="e">
        <f>VLOOKUP(B36,Уч!$A$2:$L$16,7,FALSE)</f>
        <v>#N/A</v>
      </c>
      <c r="D38" s="242"/>
      <c r="E38" s="285" t="s">
        <v>29</v>
      </c>
      <c r="F38" s="243" t="e">
        <f>VLOOKUP($B36,'110 сб '!$C$17:$I$87,7,FALSE)</f>
        <v>#N/A</v>
      </c>
      <c r="G38" s="243" t="e">
        <f>VLOOKUP($B36,высота!$C$17:$AF$42,30,FALSE)</f>
        <v>#N/A</v>
      </c>
      <c r="H38" s="243" t="e">
        <f>VLOOKUP($B36,ядро!$C$17:$K$43,9,FALSE)</f>
        <v>#N/A</v>
      </c>
      <c r="I38" s="243" t="e">
        <f>VLOOKUP($B36,'2_р'!$C$17:$I$68,7,FALSE)</f>
        <v>#N/A</v>
      </c>
      <c r="J38" s="243" t="e">
        <f>VLOOKUP($B36,Дл_р!$C$17:$O$43,13,FALSE)</f>
        <v>#N/A</v>
      </c>
      <c r="K38" s="243" t="e">
        <f>VLOOKUP($B36,К_р!$C$18:$K$31,9,FALSE)</f>
        <v>#N/A</v>
      </c>
      <c r="L38" s="240" t="e">
        <f>VLOOKUP($B36,'8_р'!$C$17:$H$77,6,FALSE)</f>
        <v>#N/A</v>
      </c>
      <c r="M38" s="152"/>
      <c r="N38" s="244"/>
      <c r="O38" s="152"/>
      <c r="P38" s="243">
        <f>B36</f>
        <v>17</v>
      </c>
      <c r="Q38" s="131" t="e">
        <f>$A36</f>
        <v>#N/A</v>
      </c>
      <c r="R38" s="131">
        <v>3</v>
      </c>
      <c r="S38" s="131" t="e">
        <f>$A36</f>
        <v>#N/A</v>
      </c>
      <c r="T38" s="236"/>
      <c r="U38" s="236"/>
      <c r="V38" s="236"/>
      <c r="W38" s="236"/>
      <c r="X38" s="236"/>
      <c r="Y38" s="236"/>
      <c r="Z38" s="236"/>
      <c r="AC38" s="131"/>
      <c r="AD38" s="131"/>
    </row>
    <row r="39" spans="1:50" s="123" customFormat="1" ht="13.2" customHeight="1" x14ac:dyDescent="0.35">
      <c r="A39" s="86"/>
      <c r="B39" s="86"/>
      <c r="C39" s="241" t="e">
        <f>VLOOKUP(B36,Уч!$A$2:$L$16,11,FALSE)</f>
        <v>#N/A</v>
      </c>
      <c r="D39" s="131"/>
      <c r="E39" s="285" t="s">
        <v>125</v>
      </c>
      <c r="F39" s="243" t="e">
        <f>F38</f>
        <v>#N/A</v>
      </c>
      <c r="G39" s="243" t="e">
        <f t="shared" ref="G39:L39" si="8">F39+G38</f>
        <v>#N/A</v>
      </c>
      <c r="H39" s="243" t="e">
        <f t="shared" si="8"/>
        <v>#N/A</v>
      </c>
      <c r="I39" s="243" t="e">
        <f t="shared" si="8"/>
        <v>#N/A</v>
      </c>
      <c r="J39" s="243" t="e">
        <f t="shared" si="8"/>
        <v>#N/A</v>
      </c>
      <c r="K39" s="243" t="e">
        <f t="shared" si="8"/>
        <v>#N/A</v>
      </c>
      <c r="L39" s="240" t="e">
        <f t="shared" si="8"/>
        <v>#N/A</v>
      </c>
      <c r="M39" s="152"/>
      <c r="N39" s="244"/>
      <c r="O39" s="152"/>
      <c r="P39" s="243">
        <f>B36</f>
        <v>17</v>
      </c>
      <c r="Q39" s="131" t="e">
        <f>$A36</f>
        <v>#N/A</v>
      </c>
      <c r="R39" s="131">
        <v>4</v>
      </c>
      <c r="S39" s="131" t="e">
        <f>$A36</f>
        <v>#N/A</v>
      </c>
      <c r="T39" s="152" t="e">
        <f t="shared" ref="T39:Z39" si="9">F39</f>
        <v>#N/A</v>
      </c>
      <c r="U39" s="152" t="e">
        <f t="shared" si="9"/>
        <v>#N/A</v>
      </c>
      <c r="V39" s="152" t="e">
        <f t="shared" si="9"/>
        <v>#N/A</v>
      </c>
      <c r="W39" s="152" t="e">
        <f t="shared" si="9"/>
        <v>#N/A</v>
      </c>
      <c r="X39" s="152" t="e">
        <f t="shared" si="9"/>
        <v>#N/A</v>
      </c>
      <c r="Y39" s="152" t="e">
        <f t="shared" si="9"/>
        <v>#N/A</v>
      </c>
      <c r="Z39" s="152" t="e">
        <f t="shared" si="9"/>
        <v>#N/A</v>
      </c>
      <c r="AC39" s="131"/>
      <c r="AD39" s="131"/>
    </row>
    <row r="40" spans="1:50" s="123" customFormat="1" ht="13.2" customHeight="1" thickBot="1" x14ac:dyDescent="0.4">
      <c r="A40" s="245"/>
      <c r="B40" s="245"/>
      <c r="C40" s="246" t="e">
        <f>VLOOKUP(B36,Уч!$A$2:$L$16,12,FALSE)</f>
        <v>#N/A</v>
      </c>
      <c r="D40" s="247"/>
      <c r="E40" s="286" t="s">
        <v>60</v>
      </c>
      <c r="F40" s="249" t="e">
        <f>RANK(F39,$T$19:$T$50,0)</f>
        <v>#N/A</v>
      </c>
      <c r="G40" s="249" t="e">
        <f>RANK(G39,$U$19:$U$50,0)</f>
        <v>#N/A</v>
      </c>
      <c r="H40" s="249" t="e">
        <f>RANK(H39,$V$19:$V$50,0)</f>
        <v>#N/A</v>
      </c>
      <c r="I40" s="249" t="e">
        <f>RANK(I39,$W$19:$W$50,0)</f>
        <v>#N/A</v>
      </c>
      <c r="J40" s="249" t="e">
        <f>RANK(J39,$X$19:$X$50,0)</f>
        <v>#N/A</v>
      </c>
      <c r="K40" s="249" t="e">
        <f>RANK(K39,$Y$19:$Y$50,0)</f>
        <v>#N/A</v>
      </c>
      <c r="L40" s="250" t="e">
        <f>RANK(L39,$Z$19:$Z$50,0)</f>
        <v>#N/A</v>
      </c>
      <c r="M40" s="251"/>
      <c r="N40" s="252"/>
      <c r="O40" s="251"/>
      <c r="P40" s="243">
        <f>B36</f>
        <v>17</v>
      </c>
      <c r="Q40" s="131" t="e">
        <f>$A36</f>
        <v>#N/A</v>
      </c>
      <c r="R40" s="131">
        <v>5</v>
      </c>
      <c r="S40" s="131" t="e">
        <f>$A36</f>
        <v>#N/A</v>
      </c>
      <c r="T40" s="236"/>
      <c r="U40" s="236"/>
      <c r="V40" s="236"/>
      <c r="W40" s="236"/>
      <c r="X40" s="236"/>
      <c r="Y40" s="236"/>
      <c r="Z40" s="236"/>
      <c r="AC40" s="131"/>
      <c r="AD40" s="131"/>
    </row>
    <row r="41" spans="1:50" s="123" customFormat="1" ht="13.2" customHeight="1" thickTop="1" x14ac:dyDescent="0.35">
      <c r="A41" s="68" t="e">
        <f>RANK(M41,$M$16:$M$50,0)</f>
        <v>#N/A</v>
      </c>
      <c r="B41" s="86">
        <v>49</v>
      </c>
      <c r="C41" s="123" t="e">
        <f>VLOOKUP(B41,Уч!$A$2:$L$16,2,FALSE)</f>
        <v>#N/A</v>
      </c>
      <c r="D41" s="231" t="e">
        <f>VLOOKUP(B41,Уч!$A$2:$L$16,3,FALSE)</f>
        <v>#N/A</v>
      </c>
      <c r="E41" s="285" t="s">
        <v>18</v>
      </c>
      <c r="F41" s="233" t="e">
        <f>VLOOKUP($B41,'110 сб '!$C$17:$I$87,5,FALSE)</f>
        <v>#N/A</v>
      </c>
      <c r="G41" s="233" t="e">
        <f>VLOOKUP($B41,высота!$C$17:$AF$42,29,FALSE)</f>
        <v>#N/A</v>
      </c>
      <c r="H41" s="233" t="e">
        <f>VLOOKUP($B41,ядро!$C$17:$K$43,8,FALSE)</f>
        <v>#N/A</v>
      </c>
      <c r="I41" s="233" t="e">
        <f>VLOOKUP($B41,'2_р'!$C$17:$I$68,5,FALSE)</f>
        <v>#N/A</v>
      </c>
      <c r="J41" s="288" t="s">
        <v>96</v>
      </c>
      <c r="K41" s="233"/>
      <c r="L41" s="257">
        <f>VLOOKUP($B41,'8_р'!$C$17:$H$77,5,FALSE)</f>
        <v>0</v>
      </c>
      <c r="M41" s="152" t="e">
        <f>SUM(F43:L43)</f>
        <v>#N/A</v>
      </c>
      <c r="N41" s="68" t="e">
        <f>LOOKUP(M41,R$1:AA$1,R$2:AA$2)</f>
        <v>#N/A</v>
      </c>
      <c r="O41" s="86">
        <v>0</v>
      </c>
      <c r="P41" s="86">
        <f>B41</f>
        <v>49</v>
      </c>
      <c r="Q41" s="131" t="e">
        <f>$A41</f>
        <v>#N/A</v>
      </c>
      <c r="R41" s="131">
        <v>1</v>
      </c>
      <c r="S41" s="131" t="e">
        <f>$A41</f>
        <v>#N/A</v>
      </c>
      <c r="T41" s="236"/>
      <c r="U41" s="236"/>
      <c r="V41" s="236"/>
      <c r="W41" s="236"/>
      <c r="X41" s="236"/>
      <c r="Y41" s="236"/>
      <c r="Z41" s="236"/>
      <c r="AB41" s="86"/>
      <c r="AC41" s="131" t="e">
        <f>IF(AND(Q41&gt;16,M41&gt;=4600),"1",LOOKUP(Q41,Q$5:AH$5,Q$6:AH$6))</f>
        <v>#N/A</v>
      </c>
      <c r="AD41" s="131" t="e">
        <f>LOOKUP(N41,R$8:W$8,R$9:W$9)</f>
        <v>#N/A</v>
      </c>
    </row>
    <row r="42" spans="1:50" s="123" customFormat="1" ht="13.2" customHeight="1" x14ac:dyDescent="0.35">
      <c r="A42" s="86"/>
      <c r="B42" s="86"/>
      <c r="C42" s="123" t="e">
        <f>VLOOKUP(B41,Уч!$A$2:$L$16,5,FALSE)</f>
        <v>#N/A</v>
      </c>
      <c r="D42" s="231" t="e">
        <f>VLOOKUP(B41,Уч!$A$2:$L$16,4,FALSE)</f>
        <v>#N/A</v>
      </c>
      <c r="E42" s="285" t="s">
        <v>25</v>
      </c>
      <c r="F42" s="238" t="e">
        <f>VLOOKUP($B41,'110 сб '!$C$17:$I$87,6,FALSE)</f>
        <v>#N/A</v>
      </c>
      <c r="G42" s="239"/>
      <c r="H42" s="239"/>
      <c r="I42" s="238" t="e">
        <f>VLOOKUP($B41,'2_р'!$C$17:$I$68,6,FALSE)</f>
        <v>#N/A</v>
      </c>
      <c r="J42" s="259" t="e">
        <f>VLOOKUP($B41,Дл_р!$C$17:$O$43,12,FALSE)</f>
        <v>#N/A</v>
      </c>
      <c r="K42" s="258"/>
      <c r="L42" s="260"/>
      <c r="M42" s="152"/>
      <c r="N42" s="86"/>
      <c r="O42" s="68" t="e">
        <f>CONCATENATE(AC41,"+",AD41,"+",5)</f>
        <v>#N/A</v>
      </c>
      <c r="P42" s="86">
        <f>B41</f>
        <v>49</v>
      </c>
      <c r="Q42" s="131" t="e">
        <f>$A41</f>
        <v>#N/A</v>
      </c>
      <c r="R42" s="131">
        <v>2</v>
      </c>
      <c r="S42" s="131" t="e">
        <f>$A41</f>
        <v>#N/A</v>
      </c>
      <c r="T42" s="236"/>
      <c r="U42" s="236"/>
      <c r="V42" s="236"/>
      <c r="W42" s="236"/>
      <c r="X42" s="236"/>
      <c r="Y42" s="236"/>
      <c r="Z42" s="236"/>
      <c r="AB42" s="86"/>
      <c r="AC42" s="131"/>
      <c r="AD42" s="131"/>
    </row>
    <row r="43" spans="1:50" s="123" customFormat="1" ht="13.2" customHeight="1" x14ac:dyDescent="0.35">
      <c r="A43" s="86"/>
      <c r="B43" s="86"/>
      <c r="C43" s="241" t="e">
        <f>VLOOKUP(B41,Уч!$A$2:$L$16,7,FALSE)</f>
        <v>#N/A</v>
      </c>
      <c r="D43" s="242"/>
      <c r="E43" s="285" t="s">
        <v>29</v>
      </c>
      <c r="F43" s="243" t="e">
        <f>VLOOKUP($B41,'110 сб '!$C$17:$I$87,7,FALSE)</f>
        <v>#N/A</v>
      </c>
      <c r="G43" s="243" t="e">
        <f>VLOOKUP($B41,высота!$C$17:$AF$42,30,FALSE)</f>
        <v>#N/A</v>
      </c>
      <c r="H43" s="243" t="e">
        <f>VLOOKUP($B41,ядро!$C$17:$K$43,9,FALSE)</f>
        <v>#N/A</v>
      </c>
      <c r="I43" s="243" t="e">
        <f>VLOOKUP($B41,'2_р'!$C$17:$I$68,7,FALSE)</f>
        <v>#N/A</v>
      </c>
      <c r="J43" s="261" t="e">
        <f>VLOOKUP($B41,Дл_р!$C$17:$O$43,13,FALSE)</f>
        <v>#N/A</v>
      </c>
      <c r="K43" s="261" t="e">
        <f>VLOOKUP($B41,К_р!$C$18:$K$31,9,FALSE)</f>
        <v>#N/A</v>
      </c>
      <c r="L43" s="260">
        <f>VLOOKUP($B41,'8_р'!$C$17:$H$77,6,FALSE)</f>
        <v>0</v>
      </c>
      <c r="M43" s="152"/>
      <c r="N43" s="244"/>
      <c r="O43" s="174"/>
      <c r="P43" s="243">
        <f>B41</f>
        <v>49</v>
      </c>
      <c r="Q43" s="131" t="e">
        <f>$A41</f>
        <v>#N/A</v>
      </c>
      <c r="R43" s="131">
        <v>3</v>
      </c>
      <c r="S43" s="131" t="e">
        <f>$A41</f>
        <v>#N/A</v>
      </c>
      <c r="T43" s="236"/>
      <c r="U43" s="236"/>
      <c r="V43" s="236"/>
      <c r="W43" s="236"/>
      <c r="X43" s="236"/>
      <c r="Y43" s="236"/>
      <c r="Z43" s="236"/>
      <c r="AB43" s="86"/>
      <c r="AC43" s="131"/>
      <c r="AD43" s="131"/>
    </row>
    <row r="44" spans="1:50" s="123" customFormat="1" ht="13.2" customHeight="1" x14ac:dyDescent="0.35">
      <c r="A44" s="86"/>
      <c r="B44" s="86"/>
      <c r="C44" s="241" t="e">
        <f>VLOOKUP(B41,Уч!$A$2:$L$16,11,FALSE)</f>
        <v>#N/A</v>
      </c>
      <c r="D44" s="131"/>
      <c r="E44" s="285" t="s">
        <v>125</v>
      </c>
      <c r="F44" s="243" t="e">
        <f>F43</f>
        <v>#N/A</v>
      </c>
      <c r="G44" s="243" t="e">
        <f t="shared" ref="G44:L44" si="10">F44+G43</f>
        <v>#N/A</v>
      </c>
      <c r="H44" s="243" t="e">
        <f t="shared" si="10"/>
        <v>#N/A</v>
      </c>
      <c r="I44" s="243" t="e">
        <f t="shared" si="10"/>
        <v>#N/A</v>
      </c>
      <c r="J44" s="261" t="e">
        <f t="shared" si="10"/>
        <v>#N/A</v>
      </c>
      <c r="K44" s="261" t="e">
        <f t="shared" si="10"/>
        <v>#N/A</v>
      </c>
      <c r="L44" s="260" t="e">
        <f t="shared" si="10"/>
        <v>#N/A</v>
      </c>
      <c r="M44" s="152"/>
      <c r="N44" s="244"/>
      <c r="O44" s="174"/>
      <c r="P44" s="243">
        <f>B41</f>
        <v>49</v>
      </c>
      <c r="Q44" s="131" t="e">
        <f>$A41</f>
        <v>#N/A</v>
      </c>
      <c r="R44" s="131">
        <v>4</v>
      </c>
      <c r="S44" s="131" t="e">
        <f>$A41</f>
        <v>#N/A</v>
      </c>
      <c r="T44" s="152" t="e">
        <f t="shared" ref="T44:Z44" si="11">F44</f>
        <v>#N/A</v>
      </c>
      <c r="U44" s="152" t="e">
        <f t="shared" si="11"/>
        <v>#N/A</v>
      </c>
      <c r="V44" s="152" t="e">
        <f t="shared" si="11"/>
        <v>#N/A</v>
      </c>
      <c r="W44" s="152" t="e">
        <f t="shared" si="11"/>
        <v>#N/A</v>
      </c>
      <c r="X44" s="152" t="e">
        <f t="shared" si="11"/>
        <v>#N/A</v>
      </c>
      <c r="Y44" s="152" t="e">
        <f t="shared" si="11"/>
        <v>#N/A</v>
      </c>
      <c r="Z44" s="152" t="e">
        <f t="shared" si="11"/>
        <v>#N/A</v>
      </c>
      <c r="AB44" s="86"/>
      <c r="AC44" s="131"/>
      <c r="AD44" s="131"/>
    </row>
    <row r="45" spans="1:50" s="123" customFormat="1" ht="13.2" customHeight="1" thickBot="1" x14ac:dyDescent="0.4">
      <c r="A45" s="245"/>
      <c r="B45" s="245"/>
      <c r="C45" s="246" t="e">
        <f>VLOOKUP(B41,Уч!$A$2:$L$16,12,FALSE)</f>
        <v>#N/A</v>
      </c>
      <c r="D45" s="247"/>
      <c r="E45" s="286" t="s">
        <v>60</v>
      </c>
      <c r="F45" s="249" t="e">
        <f>RANK(F44,$T$19:$T$50,0)</f>
        <v>#N/A</v>
      </c>
      <c r="G45" s="249" t="e">
        <f>RANK(G44,$U$19:$U$50,0)</f>
        <v>#N/A</v>
      </c>
      <c r="H45" s="249" t="e">
        <f>RANK(H44,$V$19:$V$50,0)</f>
        <v>#N/A</v>
      </c>
      <c r="I45" s="249" t="e">
        <f>RANK(I44,$W$19:$W$50,0)</f>
        <v>#N/A</v>
      </c>
      <c r="J45" s="262" t="e">
        <f>RANK(J44,$X$19:$X$50,0)</f>
        <v>#N/A</v>
      </c>
      <c r="K45" s="262" t="e">
        <f>RANK(K44,$Y$19:$Y$50,0)</f>
        <v>#N/A</v>
      </c>
      <c r="L45" s="263" t="e">
        <f>RANK(L44,$Z$19:$Z$50,0)</f>
        <v>#N/A</v>
      </c>
      <c r="M45" s="251"/>
      <c r="N45" s="252"/>
      <c r="O45" s="289"/>
      <c r="P45" s="243">
        <f>B41</f>
        <v>49</v>
      </c>
      <c r="Q45" s="131" t="e">
        <f>$A41</f>
        <v>#N/A</v>
      </c>
      <c r="R45" s="131">
        <v>5</v>
      </c>
      <c r="S45" s="131" t="e">
        <f>$A41</f>
        <v>#N/A</v>
      </c>
      <c r="T45" s="236"/>
      <c r="U45" s="236"/>
      <c r="V45" s="236"/>
      <c r="W45" s="236"/>
      <c r="X45" s="236"/>
      <c r="Y45" s="236"/>
      <c r="Z45" s="236"/>
      <c r="AB45" s="86"/>
      <c r="AC45" s="131"/>
      <c r="AD45" s="131"/>
    </row>
    <row r="46" spans="1:50" s="123" customFormat="1" ht="13.2" customHeight="1" thickTop="1" x14ac:dyDescent="0.35">
      <c r="A46" s="68" t="e">
        <f>RANK(M46,$M$16:$M$50,0)</f>
        <v>#N/A</v>
      </c>
      <c r="B46" s="86">
        <v>42</v>
      </c>
      <c r="C46" s="123" t="e">
        <f>VLOOKUP(B46,Уч!$A$2:$L$16,2,FALSE)</f>
        <v>#N/A</v>
      </c>
      <c r="D46" s="231" t="e">
        <f>VLOOKUP(B46,Уч!$A$2:$L$16,3,FALSE)</f>
        <v>#N/A</v>
      </c>
      <c r="E46" s="285" t="s">
        <v>18</v>
      </c>
      <c r="F46" s="233" t="e">
        <f>VLOOKUP($B46,'110 сб '!$C$17:$I$87,5,FALSE)</f>
        <v>#N/A</v>
      </c>
      <c r="G46" s="288" t="s">
        <v>96</v>
      </c>
      <c r="H46" s="233"/>
      <c r="I46" s="256">
        <f>VLOOKUP($B46,'2_р'!$C$17:$I$68,5,FALSE)</f>
        <v>0</v>
      </c>
      <c r="J46" s="256" t="e">
        <f>VLOOKUP($B46,Дл_р!$C$17:$O$43,11,FALSE)</f>
        <v>#N/A</v>
      </c>
      <c r="K46" s="256" t="e">
        <f>VLOOKUP($B46,К_р!$C$18:$K$31,8,FALSE)</f>
        <v>#N/A</v>
      </c>
      <c r="L46" s="257">
        <f>VLOOKUP($B46,'8_р'!$C$17:$H$77,5,FALSE)</f>
        <v>0</v>
      </c>
      <c r="M46" s="174" t="e">
        <f>SUM(F48:L48)</f>
        <v>#N/A</v>
      </c>
      <c r="N46" s="68" t="e">
        <f>LOOKUP(M46,R$1:AA$1,R$2:AA$2)</f>
        <v>#N/A</v>
      </c>
      <c r="O46" s="86">
        <v>0</v>
      </c>
      <c r="P46" s="86">
        <f>B46</f>
        <v>42</v>
      </c>
      <c r="Q46" s="131" t="e">
        <f>$A46</f>
        <v>#N/A</v>
      </c>
      <c r="R46" s="131">
        <v>1</v>
      </c>
      <c r="S46" s="131" t="e">
        <f>$A46</f>
        <v>#N/A</v>
      </c>
      <c r="T46" s="236"/>
      <c r="U46" s="236"/>
      <c r="V46" s="236"/>
      <c r="W46" s="236"/>
      <c r="X46" s="236"/>
      <c r="Y46" s="236"/>
      <c r="Z46" s="236"/>
      <c r="AB46" s="86"/>
      <c r="AC46" s="131" t="e">
        <f>IF(AND(Q46&gt;16,M46&gt;=4600),"1",LOOKUP(Q46,Q$5:AH$5,Q$6:AH$6))</f>
        <v>#N/A</v>
      </c>
      <c r="AD46" s="131" t="e">
        <f>LOOKUP(N46,R$8:W$8,R$9:W$9)</f>
        <v>#N/A</v>
      </c>
      <c r="AT46" s="131"/>
      <c r="AU46" s="131"/>
      <c r="AV46" s="131"/>
      <c r="AW46" s="131"/>
      <c r="AX46" s="131"/>
    </row>
    <row r="47" spans="1:50" s="123" customFormat="1" ht="13.2" customHeight="1" x14ac:dyDescent="0.35">
      <c r="A47" s="86"/>
      <c r="B47" s="86"/>
      <c r="C47" s="123" t="e">
        <f>VLOOKUP(B46,Уч!$A$2:$L$16,5,FALSE)</f>
        <v>#N/A</v>
      </c>
      <c r="D47" s="231" t="e">
        <f>VLOOKUP(B46,Уч!$A$2:$L$16,4,FALSE)</f>
        <v>#N/A</v>
      </c>
      <c r="E47" s="285" t="s">
        <v>25</v>
      </c>
      <c r="F47" s="238" t="e">
        <f>VLOOKUP($B46,'110 сб '!$C$17:$I$87,6,FALSE)</f>
        <v>#N/A</v>
      </c>
      <c r="G47" s="258"/>
      <c r="H47" s="258"/>
      <c r="I47" s="259">
        <f>VLOOKUP($B46,'2_р'!$C$17:$I$68,6,FALSE)</f>
        <v>0</v>
      </c>
      <c r="J47" s="259" t="e">
        <f>VLOOKUP($B46,Дл_р!$C$17:$O$43,12,FALSE)</f>
        <v>#N/A</v>
      </c>
      <c r="K47" s="258"/>
      <c r="L47" s="260"/>
      <c r="M47" s="152"/>
      <c r="N47" s="86"/>
      <c r="O47" s="68" t="e">
        <f>CONCATENATE(AC46,"+",AD46,"+",5)</f>
        <v>#N/A</v>
      </c>
      <c r="P47" s="86">
        <f>B46</f>
        <v>42</v>
      </c>
      <c r="Q47" s="131" t="e">
        <f>$A46</f>
        <v>#N/A</v>
      </c>
      <c r="R47" s="131">
        <v>2</v>
      </c>
      <c r="S47" s="131" t="e">
        <f>$A46</f>
        <v>#N/A</v>
      </c>
      <c r="T47" s="236"/>
      <c r="U47" s="236"/>
      <c r="V47" s="236"/>
      <c r="W47" s="236"/>
      <c r="X47" s="236"/>
      <c r="Y47" s="236"/>
      <c r="Z47" s="236"/>
      <c r="AB47" s="86"/>
      <c r="AC47" s="131"/>
      <c r="AD47" s="131"/>
      <c r="AT47" s="131"/>
      <c r="AU47" s="131"/>
      <c r="AV47" s="131"/>
      <c r="AW47" s="131"/>
      <c r="AX47" s="131"/>
    </row>
    <row r="48" spans="1:50" s="123" customFormat="1" ht="13.2" customHeight="1" x14ac:dyDescent="0.35">
      <c r="A48" s="86"/>
      <c r="B48" s="86"/>
      <c r="C48" s="241" t="e">
        <f>VLOOKUP(B46,Уч!$A$2:$L$16,7,FALSE)</f>
        <v>#N/A</v>
      </c>
      <c r="D48" s="242"/>
      <c r="E48" s="285" t="s">
        <v>29</v>
      </c>
      <c r="F48" s="243" t="e">
        <f>VLOOKUP($B46,'110 сб '!$C$17:$I$87,7,FALSE)</f>
        <v>#N/A</v>
      </c>
      <c r="G48" s="261" t="e">
        <f>VLOOKUP($B46,высота!$C$17:$AF$42,30,FALSE)</f>
        <v>#N/A</v>
      </c>
      <c r="H48" s="261" t="e">
        <f>VLOOKUP($B46,ядро!$C$17:$K$43,9,FALSE)</f>
        <v>#N/A</v>
      </c>
      <c r="I48" s="261">
        <f>VLOOKUP($B46,'2_р'!$C$17:$I$68,7,FALSE)</f>
        <v>0</v>
      </c>
      <c r="J48" s="261" t="e">
        <f>VLOOKUP($B46,Дл_р!$C$17:$O$43,13,FALSE)</f>
        <v>#N/A</v>
      </c>
      <c r="K48" s="261" t="e">
        <f>VLOOKUP($B46,К_р!$C$18:$K$31,9,FALSE)</f>
        <v>#N/A</v>
      </c>
      <c r="L48" s="260">
        <f>VLOOKUP($B46,'8_р'!$C$17:$H$77,6,FALSE)</f>
        <v>0</v>
      </c>
      <c r="M48" s="152"/>
      <c r="N48" s="244"/>
      <c r="O48" s="174"/>
      <c r="P48" s="243">
        <f>B46</f>
        <v>42</v>
      </c>
      <c r="Q48" s="131" t="e">
        <f>$A46</f>
        <v>#N/A</v>
      </c>
      <c r="R48" s="131">
        <v>3</v>
      </c>
      <c r="S48" s="131" t="e">
        <f>$A46</f>
        <v>#N/A</v>
      </c>
      <c r="T48" s="236"/>
      <c r="U48" s="236"/>
      <c r="V48" s="236"/>
      <c r="W48" s="236"/>
      <c r="X48" s="236"/>
      <c r="Y48" s="236"/>
      <c r="Z48" s="236"/>
      <c r="AB48" s="86"/>
      <c r="AC48" s="131"/>
      <c r="AD48" s="131"/>
    </row>
    <row r="49" spans="1:30" s="123" customFormat="1" ht="13.2" customHeight="1" x14ac:dyDescent="0.35">
      <c r="A49" s="86"/>
      <c r="B49" s="86"/>
      <c r="C49" s="241" t="e">
        <f>VLOOKUP(B46,Уч!$A$2:$L$16,11,FALSE)</f>
        <v>#N/A</v>
      </c>
      <c r="D49" s="131"/>
      <c r="E49" s="285" t="s">
        <v>125</v>
      </c>
      <c r="F49" s="243" t="e">
        <f>F48</f>
        <v>#N/A</v>
      </c>
      <c r="G49" s="261" t="e">
        <f t="shared" ref="G49:L49" si="12">F49+G48</f>
        <v>#N/A</v>
      </c>
      <c r="H49" s="261" t="e">
        <f t="shared" si="12"/>
        <v>#N/A</v>
      </c>
      <c r="I49" s="261" t="e">
        <f t="shared" si="12"/>
        <v>#N/A</v>
      </c>
      <c r="J49" s="261" t="e">
        <f t="shared" si="12"/>
        <v>#N/A</v>
      </c>
      <c r="K49" s="261" t="e">
        <f t="shared" si="12"/>
        <v>#N/A</v>
      </c>
      <c r="L49" s="260" t="e">
        <f t="shared" si="12"/>
        <v>#N/A</v>
      </c>
      <c r="M49" s="152"/>
      <c r="N49" s="244"/>
      <c r="O49" s="174"/>
      <c r="P49" s="243">
        <f>B46</f>
        <v>42</v>
      </c>
      <c r="Q49" s="131" t="e">
        <f>$A46</f>
        <v>#N/A</v>
      </c>
      <c r="R49" s="131">
        <v>4</v>
      </c>
      <c r="S49" s="131" t="e">
        <f>$A46</f>
        <v>#N/A</v>
      </c>
      <c r="T49" s="152" t="e">
        <f t="shared" ref="T49:Z49" si="13">F49</f>
        <v>#N/A</v>
      </c>
      <c r="U49" s="152" t="e">
        <f t="shared" si="13"/>
        <v>#N/A</v>
      </c>
      <c r="V49" s="152" t="e">
        <f t="shared" si="13"/>
        <v>#N/A</v>
      </c>
      <c r="W49" s="152" t="e">
        <f t="shared" si="13"/>
        <v>#N/A</v>
      </c>
      <c r="X49" s="152" t="e">
        <f t="shared" si="13"/>
        <v>#N/A</v>
      </c>
      <c r="Y49" s="152" t="e">
        <f t="shared" si="13"/>
        <v>#N/A</v>
      </c>
      <c r="Z49" s="152" t="e">
        <f t="shared" si="13"/>
        <v>#N/A</v>
      </c>
      <c r="AB49" s="86"/>
      <c r="AC49" s="131"/>
      <c r="AD49" s="131"/>
    </row>
    <row r="50" spans="1:30" s="123" customFormat="1" ht="13.2" customHeight="1" thickBot="1" x14ac:dyDescent="0.4">
      <c r="A50" s="245"/>
      <c r="B50" s="245"/>
      <c r="C50" s="246" t="e">
        <f>VLOOKUP(B46,Уч!$A$2:$L$16,12,FALSE)</f>
        <v>#N/A</v>
      </c>
      <c r="D50" s="247"/>
      <c r="E50" s="286" t="s">
        <v>60</v>
      </c>
      <c r="F50" s="249" t="e">
        <f>RANK(F49,$T$19:$T$50,0)</f>
        <v>#N/A</v>
      </c>
      <c r="G50" s="262" t="e">
        <f>RANK(G49,$U$19:$U$50,0)</f>
        <v>#N/A</v>
      </c>
      <c r="H50" s="262" t="e">
        <f>RANK(H49,$V$19:$V$50,0)</f>
        <v>#N/A</v>
      </c>
      <c r="I50" s="262" t="e">
        <f>RANK(I49,$W$19:$W$50,0)</f>
        <v>#N/A</v>
      </c>
      <c r="J50" s="262" t="e">
        <f>RANK(J49,$X$19:$X$50,0)</f>
        <v>#N/A</v>
      </c>
      <c r="K50" s="262" t="e">
        <f>RANK(K49,$Y$19:$Y$50,0)</f>
        <v>#N/A</v>
      </c>
      <c r="L50" s="263" t="e">
        <f>RANK(L49,$Z$19:$Z$50,0)</f>
        <v>#N/A</v>
      </c>
      <c r="M50" s="251"/>
      <c r="N50" s="252"/>
      <c r="O50" s="289"/>
      <c r="P50" s="243">
        <f>B46</f>
        <v>42</v>
      </c>
      <c r="Q50" s="131" t="e">
        <f>$A46</f>
        <v>#N/A</v>
      </c>
      <c r="R50" s="131">
        <v>5</v>
      </c>
      <c r="S50" s="131" t="e">
        <f>$A46</f>
        <v>#N/A</v>
      </c>
      <c r="T50" s="236"/>
      <c r="U50" s="236"/>
      <c r="V50" s="236"/>
      <c r="W50" s="236"/>
      <c r="X50" s="236"/>
      <c r="Y50" s="236"/>
      <c r="Z50" s="236"/>
      <c r="AB50" s="86"/>
      <c r="AC50" s="131"/>
      <c r="AD50" s="131"/>
    </row>
    <row r="51" spans="1:30" s="123" customFormat="1" ht="13.2" customHeight="1" thickTop="1" x14ac:dyDescent="0.35">
      <c r="A51" s="86" t="e">
        <f>RANK(M51,$M$16:$M$50,0)</f>
        <v>#N/A</v>
      </c>
      <c r="B51" s="86">
        <v>1362</v>
      </c>
      <c r="C51" s="123" t="e">
        <f>VLOOKUP(B51,Уч!$A$2:$L$16,2,FALSE)</f>
        <v>#N/A</v>
      </c>
      <c r="D51" s="231" t="e">
        <f>VLOOKUP(B51,Уч!$A$2:$L$16,3,FALSE)</f>
        <v>#N/A</v>
      </c>
      <c r="E51" s="232" t="s">
        <v>28</v>
      </c>
      <c r="F51" s="233" t="e">
        <f>VLOOKUP($B51,'110 сб '!$C$17:$I$87,5,FALSE)</f>
        <v>#N/A</v>
      </c>
      <c r="G51" s="233" t="e">
        <f>VLOOKUP($B51,высота!$C$17:$AF$42,29,FALSE)</f>
        <v>#N/A</v>
      </c>
      <c r="H51" s="233" t="e">
        <f>VLOOKUP($B51,ядро!$C$17:$K$43,8,FALSE)</f>
        <v>#N/A</v>
      </c>
      <c r="I51" s="233" t="e">
        <f>VLOOKUP($B51,'2_р'!$C$17:$I$68,5,FALSE)</f>
        <v>#N/A</v>
      </c>
      <c r="J51" s="233" t="e">
        <f>VLOOKUP($B51,Дл_р!$C$17:$O$43,11,FALSE)</f>
        <v>#N/A</v>
      </c>
      <c r="K51" s="233" t="e">
        <f>VLOOKUP($B51,К_р!$C$18:$K$31,8,FALSE)</f>
        <v>#N/A</v>
      </c>
      <c r="L51" s="234">
        <f>VLOOKUP($B51,'8_р'!$C$17:$H$77,5,FALSE)</f>
        <v>0</v>
      </c>
      <c r="M51" s="152" t="e">
        <f>SUM(F53:L53)</f>
        <v>#N/A</v>
      </c>
      <c r="N51" s="86" t="e">
        <f>LOOKUP(M51,R$1:AA$1,R$2:AA$2)</f>
        <v>#N/A</v>
      </c>
      <c r="O51" s="86" t="e">
        <f>AC51+AD51+5</f>
        <v>#N/A</v>
      </c>
      <c r="P51" s="86">
        <f>B51</f>
        <v>1362</v>
      </c>
      <c r="Q51" s="131" t="e">
        <f>$A51</f>
        <v>#N/A</v>
      </c>
      <c r="R51" s="131">
        <v>1</v>
      </c>
      <c r="S51" s="131" t="e">
        <f>$A51</f>
        <v>#N/A</v>
      </c>
      <c r="T51" s="236"/>
      <c r="U51" s="236"/>
      <c r="V51" s="236"/>
      <c r="W51" s="236"/>
      <c r="X51" s="236"/>
      <c r="Y51" s="236"/>
      <c r="Z51" s="236"/>
      <c r="AB51" s="86"/>
      <c r="AC51" s="131" t="e">
        <f>IF(AND(Q51&gt;16,M51&gt;=4600),"1",LOOKUP(Q51,Q$5:AH$5,Q$6:AH$6))</f>
        <v>#N/A</v>
      </c>
      <c r="AD51" s="131" t="e">
        <f>LOOKUP(N51,R$8:W$8,R$9:W$9)</f>
        <v>#N/A</v>
      </c>
    </row>
    <row r="52" spans="1:30" s="123" customFormat="1" ht="13.2" customHeight="1" x14ac:dyDescent="0.35">
      <c r="A52" s="86"/>
      <c r="B52" s="86"/>
      <c r="C52" s="123" t="e">
        <f>VLOOKUP(B51,Уч!$A$2:$L$16,5,FALSE)</f>
        <v>#N/A</v>
      </c>
      <c r="D52" s="231" t="e">
        <f>VLOOKUP(B51,Уч!$A$2:$L$16,4,FALSE)</f>
        <v>#N/A</v>
      </c>
      <c r="E52" s="237" t="s">
        <v>79</v>
      </c>
      <c r="F52" s="238" t="e">
        <f>VLOOKUP($B51,'110 сб '!$C$17:$I$87,6,FALSE)</f>
        <v>#N/A</v>
      </c>
      <c r="G52" s="239"/>
      <c r="H52" s="239"/>
      <c r="I52" s="238" t="e">
        <f>VLOOKUP($B51,'2_р'!$C$17:$I$68,6,FALSE)</f>
        <v>#N/A</v>
      </c>
      <c r="J52" s="238" t="e">
        <f>VLOOKUP($B51,Дл_р!$C$17:$O$43,12,FALSE)</f>
        <v>#N/A</v>
      </c>
      <c r="K52" s="239"/>
      <c r="L52" s="240"/>
      <c r="M52" s="152"/>
      <c r="N52" s="86"/>
      <c r="O52" s="86" t="e">
        <f>CONCATENATE(AC51,"+",AD51,"+",5)</f>
        <v>#N/A</v>
      </c>
      <c r="P52" s="86">
        <f>B51</f>
        <v>1362</v>
      </c>
      <c r="Q52" s="131" t="e">
        <f>$A51</f>
        <v>#N/A</v>
      </c>
      <c r="R52" s="131">
        <v>2</v>
      </c>
      <c r="S52" s="131" t="e">
        <f>$A51</f>
        <v>#N/A</v>
      </c>
      <c r="T52" s="236"/>
      <c r="U52" s="236"/>
      <c r="V52" s="236"/>
      <c r="W52" s="236"/>
      <c r="X52" s="236"/>
      <c r="Y52" s="236"/>
      <c r="Z52" s="236"/>
      <c r="AB52" s="86"/>
      <c r="AC52" s="131"/>
      <c r="AD52" s="131"/>
    </row>
    <row r="53" spans="1:30" s="123" customFormat="1" ht="13.2" customHeight="1" x14ac:dyDescent="0.35">
      <c r="A53" s="86"/>
      <c r="B53" s="86"/>
      <c r="C53" s="241" t="e">
        <f>VLOOKUP(B51,Уч!$A$2:$L$16,7,FALSE)</f>
        <v>#N/A</v>
      </c>
      <c r="D53" s="242"/>
      <c r="E53" s="237" t="s">
        <v>70</v>
      </c>
      <c r="F53" s="243" t="e">
        <f>VLOOKUP($B51,'110 сб '!$C$17:$I$87,7,FALSE)</f>
        <v>#N/A</v>
      </c>
      <c r="G53" s="243" t="e">
        <f>VLOOKUP($B51,высота!$C$17:$AF$42,30,FALSE)</f>
        <v>#N/A</v>
      </c>
      <c r="H53" s="243" t="e">
        <f>VLOOKUP($B51,ядро!$C$17:$K$43,9,FALSE)</f>
        <v>#N/A</v>
      </c>
      <c r="I53" s="243" t="e">
        <f>VLOOKUP($B51,'2_р'!$C$17:$I$68,7,FALSE)</f>
        <v>#N/A</v>
      </c>
      <c r="J53" s="243" t="e">
        <f>VLOOKUP($B51,Дл_р!$C$17:$O$43,13,FALSE)</f>
        <v>#N/A</v>
      </c>
      <c r="K53" s="243" t="e">
        <f>VLOOKUP($B51,К_р!$C$18:$K$31,9,FALSE)</f>
        <v>#N/A</v>
      </c>
      <c r="L53" s="240">
        <f>VLOOKUP($B51,'8_р'!$C$17:$H$77,6,FALSE)</f>
        <v>0</v>
      </c>
      <c r="M53" s="152"/>
      <c r="N53" s="244"/>
      <c r="O53" s="152"/>
      <c r="P53" s="243">
        <f>B51</f>
        <v>1362</v>
      </c>
      <c r="Q53" s="131" t="e">
        <f>$A51</f>
        <v>#N/A</v>
      </c>
      <c r="R53" s="131">
        <v>3</v>
      </c>
      <c r="S53" s="131" t="e">
        <f>$A51</f>
        <v>#N/A</v>
      </c>
      <c r="T53" s="236"/>
      <c r="U53" s="236"/>
      <c r="V53" s="236"/>
      <c r="W53" s="236"/>
      <c r="X53" s="236"/>
      <c r="Y53" s="236"/>
      <c r="Z53" s="236"/>
      <c r="AB53" s="86"/>
      <c r="AC53" s="131"/>
      <c r="AD53" s="131"/>
    </row>
    <row r="54" spans="1:30" s="123" customFormat="1" ht="13.2" customHeight="1" x14ac:dyDescent="0.35">
      <c r="A54" s="86"/>
      <c r="B54" s="86"/>
      <c r="C54" s="241" t="e">
        <f>VLOOKUP(B51,Уч!$A$2:$L$16,11,FALSE)</f>
        <v>#N/A</v>
      </c>
      <c r="D54" s="131"/>
      <c r="E54" s="237" t="s">
        <v>77</v>
      </c>
      <c r="F54" s="243" t="e">
        <f>F53</f>
        <v>#N/A</v>
      </c>
      <c r="G54" s="243" t="e">
        <f t="shared" ref="G54:L54" si="14">F54+G53</f>
        <v>#N/A</v>
      </c>
      <c r="H54" s="243" t="e">
        <f t="shared" si="14"/>
        <v>#N/A</v>
      </c>
      <c r="I54" s="243" t="e">
        <f t="shared" si="14"/>
        <v>#N/A</v>
      </c>
      <c r="J54" s="243" t="e">
        <f t="shared" si="14"/>
        <v>#N/A</v>
      </c>
      <c r="K54" s="243" t="e">
        <f t="shared" si="14"/>
        <v>#N/A</v>
      </c>
      <c r="L54" s="240" t="e">
        <f t="shared" si="14"/>
        <v>#N/A</v>
      </c>
      <c r="M54" s="152"/>
      <c r="N54" s="244"/>
      <c r="O54" s="152"/>
      <c r="P54" s="243">
        <f>B51</f>
        <v>1362</v>
      </c>
      <c r="Q54" s="131" t="e">
        <f>$A51</f>
        <v>#N/A</v>
      </c>
      <c r="R54" s="131">
        <v>4</v>
      </c>
      <c r="S54" s="131" t="e">
        <f>$A51</f>
        <v>#N/A</v>
      </c>
      <c r="T54" s="152" t="e">
        <f t="shared" ref="T54:Z54" si="15">F54</f>
        <v>#N/A</v>
      </c>
      <c r="U54" s="152" t="e">
        <f t="shared" si="15"/>
        <v>#N/A</v>
      </c>
      <c r="V54" s="152" t="e">
        <f t="shared" si="15"/>
        <v>#N/A</v>
      </c>
      <c r="W54" s="152" t="e">
        <f t="shared" si="15"/>
        <v>#N/A</v>
      </c>
      <c r="X54" s="152" t="e">
        <f t="shared" si="15"/>
        <v>#N/A</v>
      </c>
      <c r="Y54" s="152" t="e">
        <f t="shared" si="15"/>
        <v>#N/A</v>
      </c>
      <c r="Z54" s="152" t="e">
        <f t="shared" si="15"/>
        <v>#N/A</v>
      </c>
      <c r="AB54" s="86"/>
      <c r="AC54" s="131"/>
      <c r="AD54" s="131"/>
    </row>
    <row r="55" spans="1:30" s="123" customFormat="1" ht="13.2" customHeight="1" thickBot="1" x14ac:dyDescent="0.4">
      <c r="A55" s="245"/>
      <c r="B55" s="245"/>
      <c r="C55" s="246" t="e">
        <f>VLOOKUP(B51,Уч!$A$2:$L$16,12,FALSE)</f>
        <v>#N/A</v>
      </c>
      <c r="D55" s="247"/>
      <c r="E55" s="248" t="s">
        <v>37</v>
      </c>
      <c r="F55" s="249" t="e">
        <f>RANK(F54,$T$19:$T$50,0)</f>
        <v>#N/A</v>
      </c>
      <c r="G55" s="249" t="e">
        <f>RANK(G54,$U$19:$U$50,0)</f>
        <v>#N/A</v>
      </c>
      <c r="H55" s="249" t="e">
        <f>RANK(H54,$V$19:$V$50,0)</f>
        <v>#N/A</v>
      </c>
      <c r="I55" s="249" t="e">
        <f>RANK(I54,$W$19:$W$50,0)</f>
        <v>#N/A</v>
      </c>
      <c r="J55" s="249" t="e">
        <f>RANK(J54,$X$19:$X$50,0)</f>
        <v>#N/A</v>
      </c>
      <c r="K55" s="249" t="e">
        <f>RANK(K54,$Y$19:$Y$50,0)</f>
        <v>#N/A</v>
      </c>
      <c r="L55" s="250" t="e">
        <f>RANK(L54,$Z$19:$Z$50,0)</f>
        <v>#N/A</v>
      </c>
      <c r="M55" s="251"/>
      <c r="N55" s="252"/>
      <c r="O55" s="251"/>
      <c r="P55" s="243">
        <f>B51</f>
        <v>1362</v>
      </c>
      <c r="Q55" s="131" t="e">
        <f>$A51</f>
        <v>#N/A</v>
      </c>
      <c r="R55" s="131">
        <v>5</v>
      </c>
      <c r="S55" s="131" t="e">
        <f>$A51</f>
        <v>#N/A</v>
      </c>
      <c r="T55" s="236"/>
      <c r="U55" s="236"/>
      <c r="V55" s="236"/>
      <c r="W55" s="236"/>
      <c r="X55" s="236"/>
      <c r="Y55" s="236"/>
      <c r="Z55" s="236"/>
      <c r="AB55" s="86"/>
      <c r="AC55" s="131"/>
      <c r="AD55" s="131"/>
    </row>
    <row r="56" spans="1:30" s="123" customFormat="1" ht="13.2" customHeight="1" thickTop="1" x14ac:dyDescent="0.35">
      <c r="A56" s="86" t="e">
        <f>RANK(M56,$M$16:$M$50,0)</f>
        <v>#N/A</v>
      </c>
      <c r="B56" s="86">
        <v>1363</v>
      </c>
      <c r="C56" s="123" t="e">
        <f>VLOOKUP(B56,Уч!$A$2:$L$16,2,FALSE)</f>
        <v>#N/A</v>
      </c>
      <c r="D56" s="231" t="e">
        <f>VLOOKUP(B56,Уч!$A$2:$L$16,3,FALSE)</f>
        <v>#N/A</v>
      </c>
      <c r="E56" s="232" t="s">
        <v>28</v>
      </c>
      <c r="F56" s="233" t="e">
        <f>VLOOKUP($B56,'110 сб '!$C$17:$I$87,5,FALSE)</f>
        <v>#N/A</v>
      </c>
      <c r="G56" s="233" t="e">
        <f>VLOOKUP($B56,высота!$C$17:$AF$42,29,FALSE)</f>
        <v>#N/A</v>
      </c>
      <c r="H56" s="233" t="e">
        <f>VLOOKUP($B56,ядро!$C$17:$K$43,8,FALSE)</f>
        <v>#N/A</v>
      </c>
      <c r="I56" s="233" t="e">
        <f>VLOOKUP($B56,'2_р'!$C$17:$I$68,5,FALSE)</f>
        <v>#N/A</v>
      </c>
      <c r="J56" s="233" t="e">
        <f>VLOOKUP($B56,Дл_р!$C$17:$O$43,11,FALSE)</f>
        <v>#N/A</v>
      </c>
      <c r="K56" s="233" t="e">
        <f>VLOOKUP($B56,К_р!$C$18:$K$31,8,FALSE)</f>
        <v>#N/A</v>
      </c>
      <c r="L56" s="234" t="e">
        <f>VLOOKUP($B56,'8_р'!$C$17:$H$77,5,FALSE)</f>
        <v>#N/A</v>
      </c>
      <c r="M56" s="15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1363</v>
      </c>
      <c r="Q56" s="131" t="e">
        <f>$A56</f>
        <v>#N/A</v>
      </c>
      <c r="R56" s="131">
        <v>1</v>
      </c>
      <c r="S56" s="131" t="e">
        <f>$A56</f>
        <v>#N/A</v>
      </c>
      <c r="T56" s="236"/>
      <c r="U56" s="236"/>
      <c r="V56" s="236"/>
      <c r="W56" s="236"/>
      <c r="X56" s="236"/>
      <c r="Y56" s="236"/>
      <c r="Z56" s="236"/>
      <c r="AB56" s="86"/>
      <c r="AC56" s="131" t="e">
        <f>IF(AND(Q56&gt;16,M56&gt;=4600),"1",LOOKUP(Q56,Q$5:AH$5,Q$6:AH$6))</f>
        <v>#N/A</v>
      </c>
      <c r="AD56" s="131" t="e">
        <f>LOOKUP(N56,R$8:W$8,R$9:W$9)</f>
        <v>#N/A</v>
      </c>
    </row>
    <row r="57" spans="1:30" s="123" customFormat="1" ht="13.2" customHeight="1" x14ac:dyDescent="0.35">
      <c r="A57" s="86"/>
      <c r="B57" s="86"/>
      <c r="C57" s="123" t="e">
        <f>VLOOKUP(B56,Уч!$A$2:$L$16,5,FALSE)</f>
        <v>#N/A</v>
      </c>
      <c r="D57" s="231" t="e">
        <f>VLOOKUP(B56,Уч!$A$2:$L$16,4,FALSE)</f>
        <v>#N/A</v>
      </c>
      <c r="E57" s="237" t="s">
        <v>79</v>
      </c>
      <c r="F57" s="238" t="e">
        <f>VLOOKUP($B56,'110 сб '!$C$17:$I$87,6,FALSE)</f>
        <v>#N/A</v>
      </c>
      <c r="G57" s="239"/>
      <c r="H57" s="239"/>
      <c r="I57" s="238" t="e">
        <f>VLOOKUP($B56,'2_р'!$C$17:$I$68,6,FALSE)</f>
        <v>#N/A</v>
      </c>
      <c r="J57" s="238" t="e">
        <f>VLOOKUP($B56,Дл_р!$C$17:$O$43,12,FALSE)</f>
        <v>#N/A</v>
      </c>
      <c r="K57" s="239"/>
      <c r="L57" s="240"/>
      <c r="M57" s="152"/>
      <c r="N57" s="86"/>
      <c r="O57" s="86" t="e">
        <f>CONCATENATE(AC56,"+",AD56,"+",5)</f>
        <v>#N/A</v>
      </c>
      <c r="P57" s="86">
        <f>B56</f>
        <v>1363</v>
      </c>
      <c r="Q57" s="131" t="e">
        <f>$A56</f>
        <v>#N/A</v>
      </c>
      <c r="R57" s="131">
        <v>2</v>
      </c>
      <c r="S57" s="131" t="e">
        <f>$A56</f>
        <v>#N/A</v>
      </c>
      <c r="T57" s="236"/>
      <c r="U57" s="236"/>
      <c r="V57" s="236"/>
      <c r="W57" s="236"/>
      <c r="X57" s="236"/>
      <c r="Y57" s="236"/>
      <c r="Z57" s="236"/>
      <c r="AB57" s="86"/>
      <c r="AC57" s="131"/>
      <c r="AD57" s="131"/>
    </row>
    <row r="58" spans="1:30" s="123" customFormat="1" ht="13.2" customHeight="1" x14ac:dyDescent="0.35">
      <c r="A58" s="86"/>
      <c r="B58" s="86"/>
      <c r="C58" s="241" t="e">
        <f>VLOOKUP(B56,Уч!$A$2:$L$16,7,FALSE)</f>
        <v>#N/A</v>
      </c>
      <c r="D58" s="242"/>
      <c r="E58" s="237" t="s">
        <v>70</v>
      </c>
      <c r="F58" s="243" t="e">
        <f>VLOOKUP($B56,'110 сб '!$C$17:$I$87,7,FALSE)</f>
        <v>#N/A</v>
      </c>
      <c r="G58" s="243" t="e">
        <f>VLOOKUP($B56,высота!$C$17:$AF$42,30,FALSE)</f>
        <v>#N/A</v>
      </c>
      <c r="H58" s="243" t="e">
        <f>VLOOKUP($B56,ядро!$C$17:$K$43,9,FALSE)</f>
        <v>#N/A</v>
      </c>
      <c r="I58" s="243" t="e">
        <f>VLOOKUP($B56,'2_р'!$C$17:$I$68,7,FALSE)</f>
        <v>#N/A</v>
      </c>
      <c r="J58" s="243" t="e">
        <f>VLOOKUP($B56,Дл_р!$C$17:$O$43,13,FALSE)</f>
        <v>#N/A</v>
      </c>
      <c r="K58" s="243" t="e">
        <f>VLOOKUP($B56,К_р!$C$18:$K$31,9,FALSE)</f>
        <v>#N/A</v>
      </c>
      <c r="L58" s="240" t="e">
        <f>VLOOKUP($B56,'8_р'!$C$17:$H$77,6,FALSE)</f>
        <v>#N/A</v>
      </c>
      <c r="M58" s="152"/>
      <c r="N58" s="244"/>
      <c r="O58" s="152"/>
      <c r="P58" s="243">
        <f>B56</f>
        <v>1363</v>
      </c>
      <c r="Q58" s="131" t="e">
        <f>$A56</f>
        <v>#N/A</v>
      </c>
      <c r="R58" s="131">
        <v>3</v>
      </c>
      <c r="S58" s="131" t="e">
        <f>$A56</f>
        <v>#N/A</v>
      </c>
      <c r="T58" s="236"/>
      <c r="U58" s="236"/>
      <c r="V58" s="236"/>
      <c r="W58" s="236"/>
      <c r="X58" s="236"/>
      <c r="Y58" s="236"/>
      <c r="Z58" s="236"/>
      <c r="AB58" s="86"/>
      <c r="AC58" s="131"/>
      <c r="AD58" s="131"/>
    </row>
    <row r="59" spans="1:30" s="123" customFormat="1" ht="13.2" customHeight="1" x14ac:dyDescent="0.35">
      <c r="A59" s="86"/>
      <c r="B59" s="86"/>
      <c r="C59" s="241" t="e">
        <f>VLOOKUP(B56,Уч!$A$2:$L$16,11,FALSE)</f>
        <v>#N/A</v>
      </c>
      <c r="D59" s="131"/>
      <c r="E59" s="237" t="s">
        <v>77</v>
      </c>
      <c r="F59" s="243" t="e">
        <f>F58</f>
        <v>#N/A</v>
      </c>
      <c r="G59" s="243" t="e">
        <f t="shared" ref="G59:L59" si="16">F59+G58</f>
        <v>#N/A</v>
      </c>
      <c r="H59" s="243" t="e">
        <f t="shared" si="16"/>
        <v>#N/A</v>
      </c>
      <c r="I59" s="243" t="e">
        <f t="shared" si="16"/>
        <v>#N/A</v>
      </c>
      <c r="J59" s="243" t="e">
        <f t="shared" si="16"/>
        <v>#N/A</v>
      </c>
      <c r="K59" s="243" t="e">
        <f t="shared" si="16"/>
        <v>#N/A</v>
      </c>
      <c r="L59" s="240" t="e">
        <f t="shared" si="16"/>
        <v>#N/A</v>
      </c>
      <c r="M59" s="152"/>
      <c r="N59" s="244"/>
      <c r="O59" s="152"/>
      <c r="P59" s="243">
        <f>B56</f>
        <v>1363</v>
      </c>
      <c r="Q59" s="131" t="e">
        <f>$A56</f>
        <v>#N/A</v>
      </c>
      <c r="R59" s="131">
        <v>4</v>
      </c>
      <c r="S59" s="131" t="e">
        <f>$A56</f>
        <v>#N/A</v>
      </c>
      <c r="T59" s="152" t="e">
        <f t="shared" ref="T59:Z59" si="17">F59</f>
        <v>#N/A</v>
      </c>
      <c r="U59" s="152" t="e">
        <f t="shared" si="17"/>
        <v>#N/A</v>
      </c>
      <c r="V59" s="152" t="e">
        <f t="shared" si="17"/>
        <v>#N/A</v>
      </c>
      <c r="W59" s="152" t="e">
        <f t="shared" si="17"/>
        <v>#N/A</v>
      </c>
      <c r="X59" s="152" t="e">
        <f t="shared" si="17"/>
        <v>#N/A</v>
      </c>
      <c r="Y59" s="152" t="e">
        <f t="shared" si="17"/>
        <v>#N/A</v>
      </c>
      <c r="Z59" s="152" t="e">
        <f t="shared" si="17"/>
        <v>#N/A</v>
      </c>
      <c r="AB59" s="86"/>
      <c r="AC59" s="131"/>
      <c r="AD59" s="131"/>
    </row>
    <row r="60" spans="1:30" s="123" customFormat="1" ht="13.2" customHeight="1" thickBot="1" x14ac:dyDescent="0.4">
      <c r="A60" s="245"/>
      <c r="B60" s="245"/>
      <c r="C60" s="246" t="e">
        <f>VLOOKUP(B56,Уч!$A$2:$L$16,12,FALSE)</f>
        <v>#N/A</v>
      </c>
      <c r="D60" s="247"/>
      <c r="E60" s="248" t="s">
        <v>37</v>
      </c>
      <c r="F60" s="249" t="e">
        <f>RANK(F59,$T$19:$T$50,0)</f>
        <v>#N/A</v>
      </c>
      <c r="G60" s="249" t="e">
        <f>RANK(G59,$U$19:$U$50,0)</f>
        <v>#N/A</v>
      </c>
      <c r="H60" s="249" t="e">
        <f>RANK(H59,$V$19:$V$50,0)</f>
        <v>#N/A</v>
      </c>
      <c r="I60" s="249" t="e">
        <f>RANK(I59,$W$19:$W$50,0)</f>
        <v>#N/A</v>
      </c>
      <c r="J60" s="249" t="e">
        <f>RANK(J59,$X$19:$X$50,0)</f>
        <v>#N/A</v>
      </c>
      <c r="K60" s="249" t="e">
        <f>RANK(K59,$Y$19:$Y$50,0)</f>
        <v>#N/A</v>
      </c>
      <c r="L60" s="250" t="e">
        <f>RANK(L59,$Z$19:$Z$50,0)</f>
        <v>#N/A</v>
      </c>
      <c r="M60" s="251"/>
      <c r="N60" s="252"/>
      <c r="O60" s="251"/>
      <c r="P60" s="243">
        <f>B56</f>
        <v>1363</v>
      </c>
      <c r="Q60" s="131" t="e">
        <f>$A56</f>
        <v>#N/A</v>
      </c>
      <c r="R60" s="131">
        <v>5</v>
      </c>
      <c r="S60" s="131" t="e">
        <f>$A56</f>
        <v>#N/A</v>
      </c>
      <c r="T60" s="236"/>
      <c r="U60" s="236"/>
      <c r="V60" s="236"/>
      <c r="W60" s="236"/>
      <c r="X60" s="236"/>
      <c r="Y60" s="236"/>
      <c r="Z60" s="236"/>
      <c r="AB60" s="86"/>
      <c r="AC60" s="131"/>
      <c r="AD60" s="131"/>
    </row>
    <row r="61" spans="1:30" s="123" customFormat="1" ht="13.2" customHeight="1" thickTop="1" x14ac:dyDescent="0.35">
      <c r="A61" s="86" t="e">
        <f>RANK(M61,$M$16:$M$50,0)</f>
        <v>#N/A</v>
      </c>
      <c r="B61" s="86">
        <v>1372</v>
      </c>
      <c r="C61" s="123" t="e">
        <f>VLOOKUP(B61,Уч!$A$2:$L$16,2,FALSE)</f>
        <v>#N/A</v>
      </c>
      <c r="D61" s="231" t="e">
        <f>VLOOKUP(B61,Уч!$A$2:$L$16,3,FALSE)</f>
        <v>#N/A</v>
      </c>
      <c r="E61" s="232" t="s">
        <v>28</v>
      </c>
      <c r="F61" s="233" t="e">
        <f>VLOOKUP($B61,'110 сб '!$C$17:$I$87,5,FALSE)</f>
        <v>#N/A</v>
      </c>
      <c r="G61" s="233" t="e">
        <f>VLOOKUP($B61,высота!$C$17:$AF$42,29,FALSE)</f>
        <v>#N/A</v>
      </c>
      <c r="H61" s="233" t="e">
        <f>VLOOKUP($B61,ядро!$C$17:$K$43,8,FALSE)</f>
        <v>#N/A</v>
      </c>
      <c r="I61" s="233" t="e">
        <f>VLOOKUP($B61,'2_р'!$C$17:$I$68,5,FALSE)</f>
        <v>#N/A</v>
      </c>
      <c r="J61" s="233" t="e">
        <f>VLOOKUP($B61,Дл_р!$C$17:$O$43,11,FALSE)</f>
        <v>#N/A</v>
      </c>
      <c r="K61" s="233" t="e">
        <f>VLOOKUP($B61,К_р!$C$18:$K$31,8,FALSE)</f>
        <v>#N/A</v>
      </c>
      <c r="L61" s="234" t="e">
        <f>VLOOKUP($B61,'8_р'!$C$17:$H$77,5,FALSE)</f>
        <v>#N/A</v>
      </c>
      <c r="M61" s="15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1372</v>
      </c>
      <c r="Q61" s="131" t="e">
        <f>$A61</f>
        <v>#N/A</v>
      </c>
      <c r="R61" s="131">
        <v>1</v>
      </c>
      <c r="S61" s="131" t="e">
        <f>$A61</f>
        <v>#N/A</v>
      </c>
      <c r="T61" s="236"/>
      <c r="U61" s="236"/>
      <c r="V61" s="236"/>
      <c r="W61" s="236"/>
      <c r="X61" s="236"/>
      <c r="Y61" s="236"/>
      <c r="Z61" s="236"/>
      <c r="AB61" s="86"/>
      <c r="AC61" s="131" t="e">
        <f>IF(AND(Q61&gt;16,M61&gt;=4600),"1",LOOKUP(Q61,Q$5:AH$5,Q$6:AH$6))</f>
        <v>#N/A</v>
      </c>
      <c r="AD61" s="131" t="e">
        <f>LOOKUP(N61,R$8:W$8,R$9:W$9)</f>
        <v>#N/A</v>
      </c>
    </row>
    <row r="62" spans="1:30" s="123" customFormat="1" ht="13.2" customHeight="1" x14ac:dyDescent="0.35">
      <c r="A62" s="86"/>
      <c r="B62" s="86"/>
      <c r="C62" s="123" t="e">
        <f>VLOOKUP(B61,Уч!$A$2:$L$16,5,FALSE)</f>
        <v>#N/A</v>
      </c>
      <c r="D62" s="231" t="e">
        <f>VLOOKUP(B61,Уч!$A$2:$L$16,4,FALSE)</f>
        <v>#N/A</v>
      </c>
      <c r="E62" s="237" t="s">
        <v>79</v>
      </c>
      <c r="F62" s="238" t="e">
        <f>VLOOKUP($B61,'110 сб '!$C$17:$I$87,6,FALSE)</f>
        <v>#N/A</v>
      </c>
      <c r="G62" s="239"/>
      <c r="H62" s="239"/>
      <c r="I62" s="238" t="e">
        <f>VLOOKUP($B61,'2_р'!$C$17:$I$68,6,FALSE)</f>
        <v>#N/A</v>
      </c>
      <c r="J62" s="238" t="e">
        <f>VLOOKUP($B61,Дл_р!$C$17:$O$43,12,FALSE)</f>
        <v>#N/A</v>
      </c>
      <c r="K62" s="239"/>
      <c r="L62" s="240"/>
      <c r="M62" s="152"/>
      <c r="N62" s="86"/>
      <c r="O62" s="86" t="e">
        <f>CONCATENATE(AC61,"+",AD61,"+",5)</f>
        <v>#N/A</v>
      </c>
      <c r="P62" s="86">
        <f>B61</f>
        <v>1372</v>
      </c>
      <c r="Q62" s="131" t="e">
        <f>$A61</f>
        <v>#N/A</v>
      </c>
      <c r="R62" s="131">
        <v>2</v>
      </c>
      <c r="S62" s="131" t="e">
        <f>$A61</f>
        <v>#N/A</v>
      </c>
      <c r="T62" s="236"/>
      <c r="U62" s="236"/>
      <c r="V62" s="236"/>
      <c r="W62" s="236"/>
      <c r="X62" s="236"/>
      <c r="Y62" s="236"/>
      <c r="Z62" s="236"/>
      <c r="AB62" s="86"/>
      <c r="AC62" s="131"/>
      <c r="AD62" s="131"/>
    </row>
    <row r="63" spans="1:30" s="123" customFormat="1" ht="13.2" customHeight="1" x14ac:dyDescent="0.35">
      <c r="A63" s="86"/>
      <c r="B63" s="86"/>
      <c r="C63" s="241" t="e">
        <f>VLOOKUP(B61,Уч!$A$2:$L$16,7,FALSE)</f>
        <v>#N/A</v>
      </c>
      <c r="D63" s="242"/>
      <c r="E63" s="237" t="s">
        <v>70</v>
      </c>
      <c r="F63" s="243" t="e">
        <f>VLOOKUP($B61,'110 сб '!$C$17:$I$87,7,FALSE)</f>
        <v>#N/A</v>
      </c>
      <c r="G63" s="243" t="e">
        <f>VLOOKUP($B61,высота!$C$17:$AF$42,30,FALSE)</f>
        <v>#N/A</v>
      </c>
      <c r="H63" s="243" t="e">
        <f>VLOOKUP($B61,ядро!$C$17:$K$43,9,FALSE)</f>
        <v>#N/A</v>
      </c>
      <c r="I63" s="243" t="e">
        <f>VLOOKUP($B61,'2_р'!$C$17:$I$68,7,FALSE)</f>
        <v>#N/A</v>
      </c>
      <c r="J63" s="243" t="e">
        <f>VLOOKUP($B61,Дл_р!$C$17:$O$43,13,FALSE)</f>
        <v>#N/A</v>
      </c>
      <c r="K63" s="243" t="e">
        <f>VLOOKUP($B61,К_р!$C$18:$K$31,9,FALSE)</f>
        <v>#N/A</v>
      </c>
      <c r="L63" s="240" t="e">
        <f>VLOOKUP($B61,'8_р'!$C$17:$H$77,6,FALSE)</f>
        <v>#N/A</v>
      </c>
      <c r="M63" s="152"/>
      <c r="N63" s="244"/>
      <c r="O63" s="152"/>
      <c r="P63" s="243">
        <f>B61</f>
        <v>1372</v>
      </c>
      <c r="Q63" s="131" t="e">
        <f>$A61</f>
        <v>#N/A</v>
      </c>
      <c r="R63" s="131">
        <v>3</v>
      </c>
      <c r="S63" s="131" t="e">
        <f>$A61</f>
        <v>#N/A</v>
      </c>
      <c r="T63" s="236"/>
      <c r="U63" s="236"/>
      <c r="V63" s="236"/>
      <c r="W63" s="236"/>
      <c r="X63" s="236"/>
      <c r="Y63" s="236"/>
      <c r="Z63" s="236"/>
      <c r="AB63" s="86"/>
      <c r="AC63" s="131"/>
      <c r="AD63" s="131"/>
    </row>
    <row r="64" spans="1:30" s="123" customFormat="1" ht="13.2" customHeight="1" x14ac:dyDescent="0.35">
      <c r="A64" s="86"/>
      <c r="B64" s="86"/>
      <c r="C64" s="241" t="e">
        <f>VLOOKUP(B61,Уч!$A$2:$L$16,11,FALSE)</f>
        <v>#N/A</v>
      </c>
      <c r="D64" s="131"/>
      <c r="E64" s="237" t="s">
        <v>77</v>
      </c>
      <c r="F64" s="243" t="e">
        <f>F63</f>
        <v>#N/A</v>
      </c>
      <c r="G64" s="243" t="e">
        <f t="shared" ref="G64:L64" si="18">F64+G63</f>
        <v>#N/A</v>
      </c>
      <c r="H64" s="243" t="e">
        <f t="shared" si="18"/>
        <v>#N/A</v>
      </c>
      <c r="I64" s="243" t="e">
        <f t="shared" si="18"/>
        <v>#N/A</v>
      </c>
      <c r="J64" s="243" t="e">
        <f t="shared" si="18"/>
        <v>#N/A</v>
      </c>
      <c r="K64" s="243" t="e">
        <f t="shared" si="18"/>
        <v>#N/A</v>
      </c>
      <c r="L64" s="240" t="e">
        <f t="shared" si="18"/>
        <v>#N/A</v>
      </c>
      <c r="M64" s="152"/>
      <c r="N64" s="244"/>
      <c r="O64" s="152"/>
      <c r="P64" s="243">
        <f>B61</f>
        <v>1372</v>
      </c>
      <c r="Q64" s="131" t="e">
        <f>$A61</f>
        <v>#N/A</v>
      </c>
      <c r="R64" s="131">
        <v>4</v>
      </c>
      <c r="S64" s="131" t="e">
        <f>$A61</f>
        <v>#N/A</v>
      </c>
      <c r="T64" s="152" t="e">
        <f t="shared" ref="T64:Z64" si="19">F64</f>
        <v>#N/A</v>
      </c>
      <c r="U64" s="152" t="e">
        <f t="shared" si="19"/>
        <v>#N/A</v>
      </c>
      <c r="V64" s="152" t="e">
        <f t="shared" si="19"/>
        <v>#N/A</v>
      </c>
      <c r="W64" s="152" t="e">
        <f t="shared" si="19"/>
        <v>#N/A</v>
      </c>
      <c r="X64" s="152" t="e">
        <f t="shared" si="19"/>
        <v>#N/A</v>
      </c>
      <c r="Y64" s="152" t="e">
        <f t="shared" si="19"/>
        <v>#N/A</v>
      </c>
      <c r="Z64" s="152" t="e">
        <f t="shared" si="19"/>
        <v>#N/A</v>
      </c>
      <c r="AB64" s="86"/>
      <c r="AC64" s="131"/>
      <c r="AD64" s="131"/>
    </row>
    <row r="65" spans="1:30" s="123" customFormat="1" ht="13.2" customHeight="1" thickBot="1" x14ac:dyDescent="0.4">
      <c r="A65" s="245"/>
      <c r="B65" s="245"/>
      <c r="C65" s="246" t="e">
        <f>VLOOKUP(B61,Уч!$A$2:$L$16,12,FALSE)</f>
        <v>#N/A</v>
      </c>
      <c r="D65" s="247"/>
      <c r="E65" s="248" t="s">
        <v>37</v>
      </c>
      <c r="F65" s="249" t="e">
        <f>RANK(F64,$T$19:$T$50,0)</f>
        <v>#N/A</v>
      </c>
      <c r="G65" s="249" t="e">
        <f>RANK(G64,$U$19:$U$50,0)</f>
        <v>#N/A</v>
      </c>
      <c r="H65" s="249" t="e">
        <f>RANK(H64,$V$19:$V$50,0)</f>
        <v>#N/A</v>
      </c>
      <c r="I65" s="249" t="e">
        <f>RANK(I64,$W$19:$W$50,0)</f>
        <v>#N/A</v>
      </c>
      <c r="J65" s="249" t="e">
        <f>RANK(J64,$X$19:$X$50,0)</f>
        <v>#N/A</v>
      </c>
      <c r="K65" s="249" t="e">
        <f>RANK(K64,$Y$19:$Y$50,0)</f>
        <v>#N/A</v>
      </c>
      <c r="L65" s="250" t="e">
        <f>RANK(L64,$Z$19:$Z$50,0)</f>
        <v>#N/A</v>
      </c>
      <c r="M65" s="251"/>
      <c r="N65" s="252"/>
      <c r="O65" s="251"/>
      <c r="P65" s="243">
        <f>B61</f>
        <v>1372</v>
      </c>
      <c r="Q65" s="131" t="e">
        <f>$A61</f>
        <v>#N/A</v>
      </c>
      <c r="R65" s="131">
        <v>5</v>
      </c>
      <c r="S65" s="131" t="e">
        <f>$A61</f>
        <v>#N/A</v>
      </c>
      <c r="T65" s="236"/>
      <c r="U65" s="236"/>
      <c r="V65" s="236"/>
      <c r="W65" s="236"/>
      <c r="X65" s="236"/>
      <c r="Y65" s="236"/>
      <c r="Z65" s="236"/>
      <c r="AB65" s="86"/>
      <c r="AC65" s="131"/>
      <c r="AD65" s="131"/>
    </row>
    <row r="66" spans="1:30" s="123" customFormat="1" ht="13.2" customHeight="1" thickTop="1" x14ac:dyDescent="0.35">
      <c r="A66" s="86" t="e">
        <f>RANK(M66,$M$16:$M$50,0)</f>
        <v>#N/A</v>
      </c>
      <c r="B66" s="86">
        <v>1375</v>
      </c>
      <c r="C66" s="123" t="e">
        <f>VLOOKUP(B66,Уч!$A$2:$L$16,2,FALSE)</f>
        <v>#N/A</v>
      </c>
      <c r="D66" s="231" t="e">
        <f>VLOOKUP(B66,Уч!$A$2:$L$16,3,FALSE)</f>
        <v>#N/A</v>
      </c>
      <c r="E66" s="232" t="s">
        <v>28</v>
      </c>
      <c r="F66" s="233" t="e">
        <f>VLOOKUP($B66,'110 сб '!$C$17:$I$87,5,FALSE)</f>
        <v>#N/A</v>
      </c>
      <c r="G66" s="233" t="e">
        <f>VLOOKUP($B66,высота!$C$17:$AF$42,29,FALSE)</f>
        <v>#N/A</v>
      </c>
      <c r="H66" s="233" t="e">
        <f>VLOOKUP($B66,ядро!$C$17:$K$43,8,FALSE)</f>
        <v>#N/A</v>
      </c>
      <c r="I66" s="233" t="e">
        <f>VLOOKUP($B66,'2_р'!$C$17:$I$68,5,FALSE)</f>
        <v>#N/A</v>
      </c>
      <c r="J66" s="233" t="e">
        <f>VLOOKUP($B66,Дл_р!$C$17:$O$43,11,FALSE)</f>
        <v>#N/A</v>
      </c>
      <c r="K66" s="233" t="e">
        <f>VLOOKUP($B66,К_р!$C$18:$K$31,8,FALSE)</f>
        <v>#N/A</v>
      </c>
      <c r="L66" s="234">
        <f>VLOOKUP($B66,'8_р'!$C$17:$H$77,5,FALSE)</f>
        <v>0</v>
      </c>
      <c r="M66" s="15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1375</v>
      </c>
      <c r="Q66" s="131" t="e">
        <f>$A66</f>
        <v>#N/A</v>
      </c>
      <c r="R66" s="131">
        <v>1</v>
      </c>
      <c r="S66" s="131" t="e">
        <f>$A66</f>
        <v>#N/A</v>
      </c>
      <c r="T66" s="236"/>
      <c r="U66" s="236"/>
      <c r="V66" s="236"/>
      <c r="W66" s="236"/>
      <c r="X66" s="236"/>
      <c r="Y66" s="236"/>
      <c r="Z66" s="236"/>
      <c r="AB66" s="86"/>
      <c r="AC66" s="131" t="e">
        <f>IF(AND(Q66&gt;16,M66&gt;=4600),"1",LOOKUP(Q66,Q$5:AH$5,Q$6:AH$6))</f>
        <v>#N/A</v>
      </c>
      <c r="AD66" s="131" t="e">
        <f>LOOKUP(N66,R$8:W$8,R$9:W$9)</f>
        <v>#N/A</v>
      </c>
    </row>
    <row r="67" spans="1:30" s="123" customFormat="1" ht="13.2" customHeight="1" x14ac:dyDescent="0.35">
      <c r="A67" s="86"/>
      <c r="B67" s="86"/>
      <c r="C67" s="123" t="e">
        <f>VLOOKUP(B66,Уч!$A$2:$L$16,5,FALSE)</f>
        <v>#N/A</v>
      </c>
      <c r="D67" s="231" t="e">
        <f>VLOOKUP(B66,Уч!$A$2:$L$16,4,FALSE)</f>
        <v>#N/A</v>
      </c>
      <c r="E67" s="237" t="s">
        <v>79</v>
      </c>
      <c r="F67" s="238" t="e">
        <f>VLOOKUP($B66,'110 сб '!$C$17:$I$87,6,FALSE)</f>
        <v>#N/A</v>
      </c>
      <c r="G67" s="239"/>
      <c r="H67" s="239"/>
      <c r="I67" s="238" t="e">
        <f>VLOOKUP($B66,'2_р'!$C$17:$I$68,6,FALSE)</f>
        <v>#N/A</v>
      </c>
      <c r="J67" s="238" t="e">
        <f>VLOOKUP($B66,Дл_р!$C$17:$O$43,12,FALSE)</f>
        <v>#N/A</v>
      </c>
      <c r="K67" s="239"/>
      <c r="L67" s="240"/>
      <c r="M67" s="152"/>
      <c r="N67" s="86"/>
      <c r="O67" s="86" t="e">
        <f>CONCATENATE(AC66,"+",AD66,"+",5)</f>
        <v>#N/A</v>
      </c>
      <c r="P67" s="86">
        <f>B66</f>
        <v>1375</v>
      </c>
      <c r="Q67" s="131" t="e">
        <f>$A66</f>
        <v>#N/A</v>
      </c>
      <c r="R67" s="131">
        <v>2</v>
      </c>
      <c r="S67" s="131" t="e">
        <f>$A66</f>
        <v>#N/A</v>
      </c>
      <c r="T67" s="236"/>
      <c r="U67" s="236"/>
      <c r="V67" s="236"/>
      <c r="W67" s="236"/>
      <c r="X67" s="236"/>
      <c r="Y67" s="236"/>
      <c r="Z67" s="236"/>
      <c r="AB67" s="86"/>
      <c r="AC67" s="131"/>
      <c r="AD67" s="131"/>
    </row>
    <row r="68" spans="1:30" s="123" customFormat="1" ht="13.2" customHeight="1" x14ac:dyDescent="0.35">
      <c r="A68" s="86"/>
      <c r="B68" s="86"/>
      <c r="C68" s="241" t="e">
        <f>VLOOKUP(B66,Уч!$A$2:$L$16,7,FALSE)</f>
        <v>#N/A</v>
      </c>
      <c r="D68" s="242"/>
      <c r="E68" s="237" t="s">
        <v>70</v>
      </c>
      <c r="F68" s="243" t="e">
        <f>VLOOKUP($B66,'110 сб '!$C$17:$I$87,7,FALSE)</f>
        <v>#N/A</v>
      </c>
      <c r="G68" s="243" t="e">
        <f>VLOOKUP($B66,высота!$C$17:$AF$42,30,FALSE)</f>
        <v>#N/A</v>
      </c>
      <c r="H68" s="243" t="e">
        <f>VLOOKUP($B66,ядро!$C$17:$K$43,9,FALSE)</f>
        <v>#N/A</v>
      </c>
      <c r="I68" s="243" t="e">
        <f>VLOOKUP($B66,'2_р'!$C$17:$I$68,7,FALSE)</f>
        <v>#N/A</v>
      </c>
      <c r="J68" s="243" t="e">
        <f>VLOOKUP($B66,Дл_р!$C$17:$O$43,13,FALSE)</f>
        <v>#N/A</v>
      </c>
      <c r="K68" s="243" t="e">
        <f>VLOOKUP($B66,К_р!$C$18:$K$31,9,FALSE)</f>
        <v>#N/A</v>
      </c>
      <c r="L68" s="240">
        <f>VLOOKUP($B66,'8_р'!$C$17:$H$77,6,FALSE)</f>
        <v>0</v>
      </c>
      <c r="M68" s="152"/>
      <c r="N68" s="244"/>
      <c r="O68" s="152"/>
      <c r="P68" s="243">
        <f>B66</f>
        <v>1375</v>
      </c>
      <c r="Q68" s="131" t="e">
        <f>$A66</f>
        <v>#N/A</v>
      </c>
      <c r="R68" s="131">
        <v>3</v>
      </c>
      <c r="S68" s="131" t="e">
        <f>$A66</f>
        <v>#N/A</v>
      </c>
      <c r="T68" s="236"/>
      <c r="U68" s="236"/>
      <c r="V68" s="236"/>
      <c r="W68" s="236"/>
      <c r="X68" s="236"/>
      <c r="Y68" s="236"/>
      <c r="Z68" s="236"/>
      <c r="AB68" s="86"/>
      <c r="AC68" s="131"/>
      <c r="AD68" s="131"/>
    </row>
    <row r="69" spans="1:30" s="123" customFormat="1" ht="13.2" customHeight="1" x14ac:dyDescent="0.35">
      <c r="A69" s="86"/>
      <c r="B69" s="86"/>
      <c r="C69" s="241" t="e">
        <f>VLOOKUP(B66,Уч!$A$2:$L$16,11,FALSE)</f>
        <v>#N/A</v>
      </c>
      <c r="D69" s="131"/>
      <c r="E69" s="237" t="s">
        <v>77</v>
      </c>
      <c r="F69" s="243" t="e">
        <f>F68</f>
        <v>#N/A</v>
      </c>
      <c r="G69" s="243" t="e">
        <f t="shared" ref="G69:L69" si="20">F69+G68</f>
        <v>#N/A</v>
      </c>
      <c r="H69" s="243" t="e">
        <f t="shared" si="20"/>
        <v>#N/A</v>
      </c>
      <c r="I69" s="243" t="e">
        <f t="shared" si="20"/>
        <v>#N/A</v>
      </c>
      <c r="J69" s="243" t="e">
        <f t="shared" si="20"/>
        <v>#N/A</v>
      </c>
      <c r="K69" s="243" t="e">
        <f t="shared" si="20"/>
        <v>#N/A</v>
      </c>
      <c r="L69" s="240" t="e">
        <f t="shared" si="20"/>
        <v>#N/A</v>
      </c>
      <c r="M69" s="152"/>
      <c r="N69" s="244"/>
      <c r="O69" s="152"/>
      <c r="P69" s="243">
        <f>B66</f>
        <v>1375</v>
      </c>
      <c r="Q69" s="131" t="e">
        <f>$A66</f>
        <v>#N/A</v>
      </c>
      <c r="R69" s="131">
        <v>4</v>
      </c>
      <c r="S69" s="131" t="e">
        <f>$A66</f>
        <v>#N/A</v>
      </c>
      <c r="T69" s="152" t="e">
        <f t="shared" ref="T69:Z69" si="21">F69</f>
        <v>#N/A</v>
      </c>
      <c r="U69" s="152" t="e">
        <f t="shared" si="21"/>
        <v>#N/A</v>
      </c>
      <c r="V69" s="152" t="e">
        <f t="shared" si="21"/>
        <v>#N/A</v>
      </c>
      <c r="W69" s="152" t="e">
        <f t="shared" si="21"/>
        <v>#N/A</v>
      </c>
      <c r="X69" s="152" t="e">
        <f t="shared" si="21"/>
        <v>#N/A</v>
      </c>
      <c r="Y69" s="152" t="e">
        <f t="shared" si="21"/>
        <v>#N/A</v>
      </c>
      <c r="Z69" s="152" t="e">
        <f t="shared" si="21"/>
        <v>#N/A</v>
      </c>
      <c r="AB69" s="86"/>
      <c r="AC69" s="131"/>
      <c r="AD69" s="131"/>
    </row>
    <row r="70" spans="1:30" s="123" customFormat="1" ht="13.2" customHeight="1" thickBot="1" x14ac:dyDescent="0.4">
      <c r="A70" s="245"/>
      <c r="B70" s="245"/>
      <c r="C70" s="246" t="e">
        <f>VLOOKUP(B66,Уч!$A$2:$L$16,12,FALSE)</f>
        <v>#N/A</v>
      </c>
      <c r="D70" s="247"/>
      <c r="E70" s="248" t="s">
        <v>37</v>
      </c>
      <c r="F70" s="249" t="e">
        <f>RANK(F69,$T$19:$T$50,0)</f>
        <v>#N/A</v>
      </c>
      <c r="G70" s="249" t="e">
        <f>RANK(G69,$U$19:$U$50,0)</f>
        <v>#N/A</v>
      </c>
      <c r="H70" s="249" t="e">
        <f>RANK(H69,$V$19:$V$50,0)</f>
        <v>#N/A</v>
      </c>
      <c r="I70" s="249" t="e">
        <f>RANK(I69,$W$19:$W$50,0)</f>
        <v>#N/A</v>
      </c>
      <c r="J70" s="249" t="e">
        <f>RANK(J69,$X$19:$X$50,0)</f>
        <v>#N/A</v>
      </c>
      <c r="K70" s="249" t="e">
        <f>RANK(K69,$Y$19:$Y$50,0)</f>
        <v>#N/A</v>
      </c>
      <c r="L70" s="250" t="e">
        <f>RANK(L69,$Z$19:$Z$50,0)</f>
        <v>#N/A</v>
      </c>
      <c r="M70" s="251"/>
      <c r="N70" s="252"/>
      <c r="O70" s="251"/>
      <c r="P70" s="243">
        <f>B66</f>
        <v>1375</v>
      </c>
      <c r="Q70" s="131" t="e">
        <f>$A66</f>
        <v>#N/A</v>
      </c>
      <c r="R70" s="131">
        <v>5</v>
      </c>
      <c r="S70" s="131" t="e">
        <f>$A66</f>
        <v>#N/A</v>
      </c>
      <c r="T70" s="236"/>
      <c r="U70" s="236"/>
      <c r="V70" s="236"/>
      <c r="W70" s="236"/>
      <c r="X70" s="236"/>
      <c r="Y70" s="236"/>
      <c r="Z70" s="236"/>
      <c r="AB70" s="86"/>
      <c r="AC70" s="131"/>
      <c r="AD70" s="131"/>
    </row>
    <row r="71" spans="1:30" s="123" customFormat="1" ht="13.2" customHeight="1" thickTop="1" x14ac:dyDescent="0.35">
      <c r="A71" s="86" t="e">
        <f>RANK(M71,$M$16:$M$50,0)</f>
        <v>#N/A</v>
      </c>
      <c r="B71" s="86">
        <v>1379</v>
      </c>
      <c r="C71" s="123" t="e">
        <f>VLOOKUP(B71,Уч!$A$2:$L$16,2,FALSE)</f>
        <v>#N/A</v>
      </c>
      <c r="D71" s="231" t="e">
        <f>VLOOKUP(B71,Уч!$A$2:$L$16,3,FALSE)</f>
        <v>#N/A</v>
      </c>
      <c r="E71" s="232" t="s">
        <v>28</v>
      </c>
      <c r="F71" s="233" t="e">
        <f>VLOOKUP($B71,'110 сб '!$C$17:$I$87,5,FALSE)</f>
        <v>#N/A</v>
      </c>
      <c r="G71" s="233" t="e">
        <f>VLOOKUP($B71,высота!$C$17:$AF$42,29,FALSE)</f>
        <v>#N/A</v>
      </c>
      <c r="H71" s="233" t="e">
        <f>VLOOKUP($B71,ядро!$C$17:$K$43,8,FALSE)</f>
        <v>#N/A</v>
      </c>
      <c r="I71" s="233" t="e">
        <f>VLOOKUP($B71,'2_р'!$C$17:$I$68,5,FALSE)</f>
        <v>#N/A</v>
      </c>
      <c r="J71" s="233" t="e">
        <f>VLOOKUP($B71,Дл_р!$C$17:$O$43,11,FALSE)</f>
        <v>#N/A</v>
      </c>
      <c r="K71" s="233" t="e">
        <f>VLOOKUP($B71,К_р!$C$18:$K$31,8,FALSE)</f>
        <v>#N/A</v>
      </c>
      <c r="L71" s="234" t="e">
        <f>VLOOKUP($B71,'8_р'!$C$17:$H$77,5,FALSE)</f>
        <v>#N/A</v>
      </c>
      <c r="M71" s="152" t="e">
        <f>SUM(F73:L73)</f>
        <v>#N/A</v>
      </c>
      <c r="N71" s="86" t="e">
        <f>LOOKUP(M71,R$1:AA$1,R$2:AA$2)</f>
        <v>#N/A</v>
      </c>
      <c r="O71" s="86" t="e">
        <f>AC71+AD71+5</f>
        <v>#N/A</v>
      </c>
      <c r="P71" s="86">
        <f>B71</f>
        <v>1379</v>
      </c>
      <c r="Q71" s="131" t="e">
        <f>$A71</f>
        <v>#N/A</v>
      </c>
      <c r="R71" s="131">
        <v>1</v>
      </c>
      <c r="S71" s="131" t="e">
        <f>$A71</f>
        <v>#N/A</v>
      </c>
      <c r="T71" s="236"/>
      <c r="U71" s="236"/>
      <c r="V71" s="236"/>
      <c r="W71" s="236"/>
      <c r="X71" s="236"/>
      <c r="Y71" s="236"/>
      <c r="Z71" s="236"/>
      <c r="AB71" s="86"/>
      <c r="AC71" s="131" t="e">
        <f>IF(AND(Q71&gt;16,M71&gt;=4600),"1",LOOKUP(Q71,Q$5:AH$5,Q$6:AH$6))</f>
        <v>#N/A</v>
      </c>
      <c r="AD71" s="131" t="e">
        <f>LOOKUP(N71,R$8:W$8,R$9:W$9)</f>
        <v>#N/A</v>
      </c>
    </row>
    <row r="72" spans="1:30" s="123" customFormat="1" ht="13.2" customHeight="1" x14ac:dyDescent="0.35">
      <c r="A72" s="86"/>
      <c r="B72" s="86"/>
      <c r="C72" s="123" t="e">
        <f>VLOOKUP(B71,Уч!$A$2:$L$16,5,FALSE)</f>
        <v>#N/A</v>
      </c>
      <c r="D72" s="231" t="e">
        <f>VLOOKUP(B71,Уч!$A$2:$L$16,4,FALSE)</f>
        <v>#N/A</v>
      </c>
      <c r="E72" s="237" t="s">
        <v>79</v>
      </c>
      <c r="F72" s="238" t="e">
        <f>VLOOKUP($B71,'110 сб '!$C$17:$I$87,6,FALSE)</f>
        <v>#N/A</v>
      </c>
      <c r="G72" s="239"/>
      <c r="H72" s="239"/>
      <c r="I72" s="238" t="e">
        <f>VLOOKUP($B71,'2_р'!$C$17:$I$68,6,FALSE)</f>
        <v>#N/A</v>
      </c>
      <c r="J72" s="238" t="e">
        <f>VLOOKUP($B71,Дл_р!$C$17:$O$43,12,FALSE)</f>
        <v>#N/A</v>
      </c>
      <c r="K72" s="239"/>
      <c r="L72" s="240"/>
      <c r="M72" s="152"/>
      <c r="N72" s="86"/>
      <c r="O72" s="86" t="e">
        <f>CONCATENATE(AC71,"+",AD71,"+",5)</f>
        <v>#N/A</v>
      </c>
      <c r="P72" s="86">
        <f>B71</f>
        <v>1379</v>
      </c>
      <c r="Q72" s="131" t="e">
        <f>$A71</f>
        <v>#N/A</v>
      </c>
      <c r="R72" s="131">
        <v>2</v>
      </c>
      <c r="S72" s="131" t="e">
        <f>$A71</f>
        <v>#N/A</v>
      </c>
      <c r="T72" s="236"/>
      <c r="U72" s="236"/>
      <c r="V72" s="236"/>
      <c r="W72" s="236"/>
      <c r="X72" s="236"/>
      <c r="Y72" s="236"/>
      <c r="Z72" s="236"/>
      <c r="AB72" s="86"/>
      <c r="AC72" s="131"/>
      <c r="AD72" s="131"/>
    </row>
    <row r="73" spans="1:30" s="123" customFormat="1" ht="13.2" customHeight="1" x14ac:dyDescent="0.35">
      <c r="A73" s="86"/>
      <c r="B73" s="86"/>
      <c r="C73" s="241" t="e">
        <f>VLOOKUP(B71,Уч!$A$2:$L$16,7,FALSE)</f>
        <v>#N/A</v>
      </c>
      <c r="D73" s="242"/>
      <c r="E73" s="237" t="s">
        <v>70</v>
      </c>
      <c r="F73" s="243" t="e">
        <f>VLOOKUP($B71,'110 сб '!$C$17:$I$87,7,FALSE)</f>
        <v>#N/A</v>
      </c>
      <c r="G73" s="243" t="e">
        <f>VLOOKUP($B71,высота!$C$17:$AF$42,30,FALSE)</f>
        <v>#N/A</v>
      </c>
      <c r="H73" s="243" t="e">
        <f>VLOOKUP($B71,ядро!$C$17:$K$43,9,FALSE)</f>
        <v>#N/A</v>
      </c>
      <c r="I73" s="243" t="e">
        <f>VLOOKUP($B71,'2_р'!$C$17:$I$68,7,FALSE)</f>
        <v>#N/A</v>
      </c>
      <c r="J73" s="243" t="e">
        <f>VLOOKUP($B71,Дл_р!$C$17:$O$43,13,FALSE)</f>
        <v>#N/A</v>
      </c>
      <c r="K73" s="243" t="e">
        <f>VLOOKUP($B71,К_р!$C$18:$K$31,9,FALSE)</f>
        <v>#N/A</v>
      </c>
      <c r="L73" s="240" t="e">
        <f>VLOOKUP($B71,'8_р'!$C$17:$H$77,6,FALSE)</f>
        <v>#N/A</v>
      </c>
      <c r="M73" s="152"/>
      <c r="N73" s="244"/>
      <c r="O73" s="152"/>
      <c r="P73" s="243">
        <f>B71</f>
        <v>1379</v>
      </c>
      <c r="Q73" s="131" t="e">
        <f>$A71</f>
        <v>#N/A</v>
      </c>
      <c r="R73" s="131">
        <v>3</v>
      </c>
      <c r="S73" s="131" t="e">
        <f>$A71</f>
        <v>#N/A</v>
      </c>
      <c r="T73" s="236"/>
      <c r="U73" s="236"/>
      <c r="V73" s="236"/>
      <c r="W73" s="236"/>
      <c r="X73" s="236"/>
      <c r="Y73" s="236"/>
      <c r="Z73" s="236"/>
      <c r="AB73" s="86"/>
      <c r="AC73" s="131"/>
      <c r="AD73" s="131"/>
    </row>
    <row r="74" spans="1:30" s="123" customFormat="1" ht="13.2" customHeight="1" x14ac:dyDescent="0.35">
      <c r="A74" s="86"/>
      <c r="B74" s="86"/>
      <c r="C74" s="241" t="e">
        <f>VLOOKUP(B71,Уч!$A$2:$L$16,11,FALSE)</f>
        <v>#N/A</v>
      </c>
      <c r="D74" s="131"/>
      <c r="E74" s="237" t="s">
        <v>77</v>
      </c>
      <c r="F74" s="243" t="e">
        <f>F73</f>
        <v>#N/A</v>
      </c>
      <c r="G74" s="243" t="e">
        <f t="shared" ref="G74:L74" si="22">F74+G73</f>
        <v>#N/A</v>
      </c>
      <c r="H74" s="243" t="e">
        <f t="shared" si="22"/>
        <v>#N/A</v>
      </c>
      <c r="I74" s="243" t="e">
        <f t="shared" si="22"/>
        <v>#N/A</v>
      </c>
      <c r="J74" s="243" t="e">
        <f t="shared" si="22"/>
        <v>#N/A</v>
      </c>
      <c r="K74" s="243" t="e">
        <f t="shared" si="22"/>
        <v>#N/A</v>
      </c>
      <c r="L74" s="240" t="e">
        <f t="shared" si="22"/>
        <v>#N/A</v>
      </c>
      <c r="M74" s="152"/>
      <c r="N74" s="244"/>
      <c r="O74" s="152"/>
      <c r="P74" s="243">
        <f>B71</f>
        <v>1379</v>
      </c>
      <c r="Q74" s="131" t="e">
        <f>$A71</f>
        <v>#N/A</v>
      </c>
      <c r="R74" s="131">
        <v>4</v>
      </c>
      <c r="S74" s="131" t="e">
        <f>$A71</f>
        <v>#N/A</v>
      </c>
      <c r="T74" s="152" t="e">
        <f t="shared" ref="T74:Z74" si="23">F74</f>
        <v>#N/A</v>
      </c>
      <c r="U74" s="152" t="e">
        <f t="shared" si="23"/>
        <v>#N/A</v>
      </c>
      <c r="V74" s="152" t="e">
        <f t="shared" si="23"/>
        <v>#N/A</v>
      </c>
      <c r="W74" s="152" t="e">
        <f t="shared" si="23"/>
        <v>#N/A</v>
      </c>
      <c r="X74" s="152" t="e">
        <f t="shared" si="23"/>
        <v>#N/A</v>
      </c>
      <c r="Y74" s="152" t="e">
        <f t="shared" si="23"/>
        <v>#N/A</v>
      </c>
      <c r="Z74" s="152" t="e">
        <f t="shared" si="23"/>
        <v>#N/A</v>
      </c>
      <c r="AB74" s="86"/>
      <c r="AC74" s="131"/>
      <c r="AD74" s="131"/>
    </row>
    <row r="75" spans="1:30" s="123" customFormat="1" ht="13.2" customHeight="1" thickBot="1" x14ac:dyDescent="0.4">
      <c r="A75" s="245"/>
      <c r="B75" s="245"/>
      <c r="C75" s="246" t="e">
        <f>VLOOKUP(B71,Уч!$A$2:$L$16,12,FALSE)</f>
        <v>#N/A</v>
      </c>
      <c r="D75" s="247"/>
      <c r="E75" s="248" t="s">
        <v>37</v>
      </c>
      <c r="F75" s="249" t="e">
        <f>RANK(F74,$T$19:$T$50,0)</f>
        <v>#N/A</v>
      </c>
      <c r="G75" s="249" t="e">
        <f>RANK(G74,$U$19:$U$50,0)</f>
        <v>#N/A</v>
      </c>
      <c r="H75" s="249" t="e">
        <f>RANK(H74,$V$19:$V$50,0)</f>
        <v>#N/A</v>
      </c>
      <c r="I75" s="249" t="e">
        <f>RANK(I74,$W$19:$W$50,0)</f>
        <v>#N/A</v>
      </c>
      <c r="J75" s="249" t="e">
        <f>RANK(J74,$X$19:$X$50,0)</f>
        <v>#N/A</v>
      </c>
      <c r="K75" s="249" t="e">
        <f>RANK(K74,$Y$19:$Y$50,0)</f>
        <v>#N/A</v>
      </c>
      <c r="L75" s="250" t="e">
        <f>RANK(L74,$Z$19:$Z$50,0)</f>
        <v>#N/A</v>
      </c>
      <c r="M75" s="251"/>
      <c r="N75" s="252"/>
      <c r="O75" s="251"/>
      <c r="P75" s="243">
        <f>B71</f>
        <v>1379</v>
      </c>
      <c r="Q75" s="131" t="e">
        <f>$A71</f>
        <v>#N/A</v>
      </c>
      <c r="R75" s="131">
        <v>5</v>
      </c>
      <c r="S75" s="131" t="e">
        <f>$A71</f>
        <v>#N/A</v>
      </c>
      <c r="T75" s="236"/>
      <c r="U75" s="236"/>
      <c r="V75" s="236"/>
      <c r="W75" s="236"/>
      <c r="X75" s="236"/>
      <c r="Y75" s="236"/>
      <c r="Z75" s="236"/>
      <c r="AB75" s="86"/>
      <c r="AC75" s="131"/>
      <c r="AD75" s="131"/>
    </row>
    <row r="76" spans="1:30" s="123" customFormat="1" ht="13.2" customHeight="1" thickTop="1" x14ac:dyDescent="0.35">
      <c r="A76" s="86" t="e">
        <f>RANK(M76,$M$16:$M$50,0)</f>
        <v>#N/A</v>
      </c>
      <c r="B76" s="86">
        <v>1380</v>
      </c>
      <c r="C76" s="123" t="e">
        <f>VLOOKUP(B76,Уч!$A$2:$L$16,2,FALSE)</f>
        <v>#N/A</v>
      </c>
      <c r="D76" s="231" t="e">
        <f>VLOOKUP(B76,Уч!$A$2:$L$16,3,FALSE)</f>
        <v>#N/A</v>
      </c>
      <c r="E76" s="232" t="s">
        <v>28</v>
      </c>
      <c r="F76" s="233" t="e">
        <f>VLOOKUP($B76,'110 сб '!$C$17:$I$87,5,FALSE)</f>
        <v>#N/A</v>
      </c>
      <c r="G76" s="233" t="e">
        <f>VLOOKUP($B76,высота!$C$17:$AF$42,29,FALSE)</f>
        <v>#N/A</v>
      </c>
      <c r="H76" s="233" t="e">
        <f>VLOOKUP($B76,ядро!$C$17:$K$43,8,FALSE)</f>
        <v>#N/A</v>
      </c>
      <c r="I76" s="233" t="e">
        <f>VLOOKUP($B76,'2_р'!$C$17:$I$68,5,FALSE)</f>
        <v>#N/A</v>
      </c>
      <c r="J76" s="233" t="e">
        <f>VLOOKUP($B76,Дл_р!$C$17:$O$43,11,FALSE)</f>
        <v>#N/A</v>
      </c>
      <c r="K76" s="233" t="e">
        <f>VLOOKUP($B76,К_р!$C$18:$K$31,8,FALSE)</f>
        <v>#N/A</v>
      </c>
      <c r="L76" s="234" t="e">
        <f>VLOOKUP($B76,'8_р'!$C$17:$H$77,5,FALSE)</f>
        <v>#N/A</v>
      </c>
      <c r="M76" s="152" t="e">
        <f>SUM(F78:L78)</f>
        <v>#N/A</v>
      </c>
      <c r="N76" s="86" t="e">
        <f>LOOKUP(M76,R$1:AA$1,R$2:AA$2)</f>
        <v>#N/A</v>
      </c>
      <c r="O76" s="86" t="e">
        <f>AC76+AD76+5</f>
        <v>#N/A</v>
      </c>
      <c r="P76" s="86">
        <f>B76</f>
        <v>1380</v>
      </c>
      <c r="Q76" s="131" t="e">
        <f>$A76</f>
        <v>#N/A</v>
      </c>
      <c r="R76" s="131">
        <v>1</v>
      </c>
      <c r="S76" s="131" t="e">
        <f>$A76</f>
        <v>#N/A</v>
      </c>
      <c r="T76" s="236"/>
      <c r="U76" s="236"/>
      <c r="V76" s="236"/>
      <c r="W76" s="236"/>
      <c r="X76" s="236"/>
      <c r="Y76" s="236"/>
      <c r="Z76" s="236"/>
      <c r="AB76" s="86"/>
      <c r="AC76" s="131" t="e">
        <f>IF(AND(Q76&gt;16,M76&gt;=4600),"1",LOOKUP(Q76,Q$5:AH$5,Q$6:AH$6))</f>
        <v>#N/A</v>
      </c>
      <c r="AD76" s="131" t="e">
        <f>LOOKUP(N76,R$8:W$8,R$9:W$9)</f>
        <v>#N/A</v>
      </c>
    </row>
    <row r="77" spans="1:30" s="123" customFormat="1" ht="13.2" customHeight="1" x14ac:dyDescent="0.35">
      <c r="A77" s="86"/>
      <c r="B77" s="86"/>
      <c r="C77" s="123" t="e">
        <f>VLOOKUP(B76,Уч!$A$2:$L$16,5,FALSE)</f>
        <v>#N/A</v>
      </c>
      <c r="D77" s="231" t="e">
        <f>VLOOKUP(B76,Уч!$A$2:$L$16,4,FALSE)</f>
        <v>#N/A</v>
      </c>
      <c r="E77" s="237" t="s">
        <v>79</v>
      </c>
      <c r="F77" s="238" t="e">
        <f>VLOOKUP($B76,'110 сб '!$C$17:$I$87,6,FALSE)</f>
        <v>#N/A</v>
      </c>
      <c r="G77" s="239"/>
      <c r="H77" s="239"/>
      <c r="I77" s="238" t="e">
        <f>VLOOKUP($B76,'2_р'!$C$17:$I$68,6,FALSE)</f>
        <v>#N/A</v>
      </c>
      <c r="J77" s="238" t="e">
        <f>VLOOKUP($B76,Дл_р!$C$17:$O$43,12,FALSE)</f>
        <v>#N/A</v>
      </c>
      <c r="K77" s="239"/>
      <c r="L77" s="240"/>
      <c r="M77" s="152"/>
      <c r="N77" s="86"/>
      <c r="O77" s="86" t="e">
        <f>CONCATENATE(AC76,"+",AD76,"+",5)</f>
        <v>#N/A</v>
      </c>
      <c r="P77" s="86">
        <f>B76</f>
        <v>1380</v>
      </c>
      <c r="Q77" s="131" t="e">
        <f>$A76</f>
        <v>#N/A</v>
      </c>
      <c r="R77" s="131">
        <v>2</v>
      </c>
      <c r="S77" s="131" t="e">
        <f>$A76</f>
        <v>#N/A</v>
      </c>
      <c r="T77" s="236"/>
      <c r="U77" s="236"/>
      <c r="V77" s="236"/>
      <c r="W77" s="236"/>
      <c r="X77" s="236"/>
      <c r="Y77" s="236"/>
      <c r="Z77" s="236"/>
      <c r="AB77" s="86"/>
      <c r="AC77" s="131"/>
      <c r="AD77" s="131"/>
    </row>
    <row r="78" spans="1:30" s="123" customFormat="1" ht="13.2" customHeight="1" x14ac:dyDescent="0.35">
      <c r="A78" s="86"/>
      <c r="B78" s="86"/>
      <c r="C78" s="241" t="e">
        <f>VLOOKUP(B76,Уч!$A$2:$L$16,7,FALSE)</f>
        <v>#N/A</v>
      </c>
      <c r="D78" s="242"/>
      <c r="E78" s="237" t="s">
        <v>70</v>
      </c>
      <c r="F78" s="243" t="e">
        <f>VLOOKUP($B76,'110 сб '!$C$17:$I$87,7,FALSE)</f>
        <v>#N/A</v>
      </c>
      <c r="G78" s="243" t="e">
        <f>VLOOKUP($B76,высота!$C$17:$AF$42,30,FALSE)</f>
        <v>#N/A</v>
      </c>
      <c r="H78" s="243" t="e">
        <f>VLOOKUP($B76,ядро!$C$17:$K$43,9,FALSE)</f>
        <v>#N/A</v>
      </c>
      <c r="I78" s="243" t="e">
        <f>VLOOKUP($B76,'2_р'!$C$17:$I$68,7,FALSE)</f>
        <v>#N/A</v>
      </c>
      <c r="J78" s="243" t="e">
        <f>VLOOKUP($B76,Дл_р!$C$17:$O$43,13,FALSE)</f>
        <v>#N/A</v>
      </c>
      <c r="K78" s="243" t="e">
        <f>VLOOKUP($B76,К_р!$C$18:$K$31,9,FALSE)</f>
        <v>#N/A</v>
      </c>
      <c r="L78" s="240" t="e">
        <f>VLOOKUP($B76,'8_р'!$C$17:$H$77,6,FALSE)</f>
        <v>#N/A</v>
      </c>
      <c r="M78" s="152"/>
      <c r="N78" s="244"/>
      <c r="O78" s="152"/>
      <c r="P78" s="243">
        <f>B76</f>
        <v>1380</v>
      </c>
      <c r="Q78" s="131" t="e">
        <f>$A76</f>
        <v>#N/A</v>
      </c>
      <c r="R78" s="131">
        <v>3</v>
      </c>
      <c r="S78" s="131" t="e">
        <f>$A76</f>
        <v>#N/A</v>
      </c>
      <c r="T78" s="236"/>
      <c r="U78" s="236"/>
      <c r="V78" s="236"/>
      <c r="W78" s="236"/>
      <c r="X78" s="236"/>
      <c r="Y78" s="236"/>
      <c r="Z78" s="236"/>
      <c r="AB78" s="86"/>
      <c r="AC78" s="131"/>
      <c r="AD78" s="131"/>
    </row>
    <row r="79" spans="1:30" s="123" customFormat="1" ht="13.2" customHeight="1" x14ac:dyDescent="0.35">
      <c r="A79" s="86"/>
      <c r="B79" s="86"/>
      <c r="C79" s="241" t="e">
        <f>VLOOKUP(B76,Уч!$A$2:$L$16,11,FALSE)</f>
        <v>#N/A</v>
      </c>
      <c r="D79" s="131"/>
      <c r="E79" s="237" t="s">
        <v>77</v>
      </c>
      <c r="F79" s="243" t="e">
        <f>F78</f>
        <v>#N/A</v>
      </c>
      <c r="G79" s="243" t="e">
        <f t="shared" ref="G79:L79" si="24">F79+G78</f>
        <v>#N/A</v>
      </c>
      <c r="H79" s="243" t="e">
        <f t="shared" si="24"/>
        <v>#N/A</v>
      </c>
      <c r="I79" s="243" t="e">
        <f t="shared" si="24"/>
        <v>#N/A</v>
      </c>
      <c r="J79" s="243" t="e">
        <f t="shared" si="24"/>
        <v>#N/A</v>
      </c>
      <c r="K79" s="243" t="e">
        <f t="shared" si="24"/>
        <v>#N/A</v>
      </c>
      <c r="L79" s="240" t="e">
        <f t="shared" si="24"/>
        <v>#N/A</v>
      </c>
      <c r="M79" s="152"/>
      <c r="N79" s="244"/>
      <c r="O79" s="152"/>
      <c r="P79" s="243">
        <f>B76</f>
        <v>1380</v>
      </c>
      <c r="Q79" s="131" t="e">
        <f>$A76</f>
        <v>#N/A</v>
      </c>
      <c r="R79" s="131">
        <v>4</v>
      </c>
      <c r="S79" s="131" t="e">
        <f>$A76</f>
        <v>#N/A</v>
      </c>
      <c r="T79" s="152" t="e">
        <f t="shared" ref="T79:Z79" si="25">F79</f>
        <v>#N/A</v>
      </c>
      <c r="U79" s="152" t="e">
        <f t="shared" si="25"/>
        <v>#N/A</v>
      </c>
      <c r="V79" s="152" t="e">
        <f t="shared" si="25"/>
        <v>#N/A</v>
      </c>
      <c r="W79" s="152" t="e">
        <f t="shared" si="25"/>
        <v>#N/A</v>
      </c>
      <c r="X79" s="152" t="e">
        <f t="shared" si="25"/>
        <v>#N/A</v>
      </c>
      <c r="Y79" s="152" t="e">
        <f t="shared" si="25"/>
        <v>#N/A</v>
      </c>
      <c r="Z79" s="152" t="e">
        <f t="shared" si="25"/>
        <v>#N/A</v>
      </c>
      <c r="AB79" s="86"/>
      <c r="AC79" s="131"/>
      <c r="AD79" s="131"/>
    </row>
    <row r="80" spans="1:30" s="123" customFormat="1" ht="13.2" customHeight="1" thickBot="1" x14ac:dyDescent="0.4">
      <c r="A80" s="245"/>
      <c r="B80" s="245"/>
      <c r="C80" s="246" t="e">
        <f>VLOOKUP(B76,Уч!$A$2:$L$16,12,FALSE)</f>
        <v>#N/A</v>
      </c>
      <c r="D80" s="247"/>
      <c r="E80" s="248" t="s">
        <v>37</v>
      </c>
      <c r="F80" s="249" t="e">
        <f>RANK(F79,$T$19:$T$50,0)</f>
        <v>#N/A</v>
      </c>
      <c r="G80" s="249" t="e">
        <f>RANK(G79,$U$19:$U$50,0)</f>
        <v>#N/A</v>
      </c>
      <c r="H80" s="249" t="e">
        <f>RANK(H79,$V$19:$V$50,0)</f>
        <v>#N/A</v>
      </c>
      <c r="I80" s="249" t="e">
        <f>RANK(I79,$W$19:$W$50,0)</f>
        <v>#N/A</v>
      </c>
      <c r="J80" s="249" t="e">
        <f>RANK(J79,$X$19:$X$50,0)</f>
        <v>#N/A</v>
      </c>
      <c r="K80" s="249" t="e">
        <f>RANK(K79,$Y$19:$Y$50,0)</f>
        <v>#N/A</v>
      </c>
      <c r="L80" s="250" t="e">
        <f>RANK(L79,$Z$19:$Z$50,0)</f>
        <v>#N/A</v>
      </c>
      <c r="M80" s="251"/>
      <c r="N80" s="252"/>
      <c r="O80" s="251"/>
      <c r="P80" s="243">
        <f>B76</f>
        <v>1380</v>
      </c>
      <c r="Q80" s="131" t="e">
        <f>$A76</f>
        <v>#N/A</v>
      </c>
      <c r="R80" s="131">
        <v>5</v>
      </c>
      <c r="S80" s="131" t="e">
        <f>$A76</f>
        <v>#N/A</v>
      </c>
      <c r="T80" s="236"/>
      <c r="U80" s="236"/>
      <c r="V80" s="236"/>
      <c r="W80" s="236"/>
      <c r="X80" s="236"/>
      <c r="Y80" s="236"/>
      <c r="Z80" s="236"/>
      <c r="AB80" s="86"/>
      <c r="AC80" s="131"/>
      <c r="AD80" s="131"/>
    </row>
    <row r="81" spans="1:30" s="123" customFormat="1" ht="13.2" customHeight="1" thickTop="1" x14ac:dyDescent="0.35">
      <c r="A81" s="86" t="e">
        <f>RANK(M81,$M$16:$M$50,0)</f>
        <v>#N/A</v>
      </c>
      <c r="B81" s="86">
        <v>1416</v>
      </c>
      <c r="C81" s="123" t="e">
        <f>VLOOKUP(B81,Уч!$A$2:$L$16,2,FALSE)</f>
        <v>#N/A</v>
      </c>
      <c r="D81" s="231" t="e">
        <f>VLOOKUP(B81,Уч!$A$2:$L$16,3,FALSE)</f>
        <v>#N/A</v>
      </c>
      <c r="E81" s="232" t="s">
        <v>28</v>
      </c>
      <c r="F81" s="233" t="e">
        <f>VLOOKUP($B81,'110 сб '!$C$17:$I$87,5,FALSE)</f>
        <v>#N/A</v>
      </c>
      <c r="G81" s="233" t="e">
        <f>VLOOKUP($B81,высота!$C$17:$AF$42,29,FALSE)</f>
        <v>#N/A</v>
      </c>
      <c r="H81" s="233">
        <f>VLOOKUP($B81,ядро!$C$17:$K$43,8,FALSE)</f>
        <v>0</v>
      </c>
      <c r="I81" s="233" t="e">
        <f>VLOOKUP($B81,'2_р'!$C$17:$I$68,5,FALSE)</f>
        <v>#N/A</v>
      </c>
      <c r="J81" s="233" t="e">
        <f>VLOOKUP($B81,Дл_р!$C$17:$O$43,11,FALSE)</f>
        <v>#N/A</v>
      </c>
      <c r="K81" s="233" t="e">
        <f>VLOOKUP($B81,К_р!$C$18:$K$31,8,FALSE)</f>
        <v>#N/A</v>
      </c>
      <c r="L81" s="234" t="e">
        <f>VLOOKUP($B81,'8_р'!$C$17:$H$77,5,FALSE)</f>
        <v>#N/A</v>
      </c>
      <c r="M81" s="15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1416</v>
      </c>
      <c r="Q81" s="131" t="e">
        <f>$A81</f>
        <v>#N/A</v>
      </c>
      <c r="R81" s="131">
        <v>1</v>
      </c>
      <c r="S81" s="131" t="e">
        <f>$A81</f>
        <v>#N/A</v>
      </c>
      <c r="T81" s="236"/>
      <c r="U81" s="236"/>
      <c r="V81" s="236"/>
      <c r="W81" s="236"/>
      <c r="X81" s="236"/>
      <c r="Y81" s="236"/>
      <c r="Z81" s="236"/>
      <c r="AB81" s="86"/>
      <c r="AC81" s="131" t="e">
        <f>IF(AND(Q81&gt;16,M81&gt;=4600),"1",LOOKUP(Q81,Q$5:AH$5,Q$6:AH$6))</f>
        <v>#N/A</v>
      </c>
      <c r="AD81" s="131" t="e">
        <f>LOOKUP(N81,R$8:W$8,R$9:W$9)</f>
        <v>#N/A</v>
      </c>
    </row>
    <row r="82" spans="1:30" s="123" customFormat="1" ht="13.2" customHeight="1" x14ac:dyDescent="0.35">
      <c r="A82" s="86"/>
      <c r="B82" s="86"/>
      <c r="C82" s="123" t="e">
        <f>VLOOKUP(B81,Уч!$A$2:$L$16,5,FALSE)</f>
        <v>#N/A</v>
      </c>
      <c r="D82" s="231" t="e">
        <f>VLOOKUP(B81,Уч!$A$2:$L$16,4,FALSE)</f>
        <v>#N/A</v>
      </c>
      <c r="E82" s="237" t="s">
        <v>79</v>
      </c>
      <c r="F82" s="238" t="e">
        <f>VLOOKUP($B81,'110 сб '!$C$17:$I$87,6,FALSE)</f>
        <v>#N/A</v>
      </c>
      <c r="G82" s="239"/>
      <c r="H82" s="239"/>
      <c r="I82" s="238" t="e">
        <f>VLOOKUP($B81,'2_р'!$C$17:$I$68,6,FALSE)</f>
        <v>#N/A</v>
      </c>
      <c r="J82" s="238" t="e">
        <f>VLOOKUP($B81,Дл_р!$C$17:$O$43,12,FALSE)</f>
        <v>#N/A</v>
      </c>
      <c r="K82" s="239"/>
      <c r="L82" s="240"/>
      <c r="M82" s="152"/>
      <c r="N82" s="86"/>
      <c r="O82" s="86" t="e">
        <f>CONCATENATE(AC81,"+",AD81,"+",5)</f>
        <v>#N/A</v>
      </c>
      <c r="P82" s="86">
        <f>B81</f>
        <v>1416</v>
      </c>
      <c r="Q82" s="131" t="e">
        <f>$A81</f>
        <v>#N/A</v>
      </c>
      <c r="R82" s="131">
        <v>2</v>
      </c>
      <c r="S82" s="131" t="e">
        <f>$A81</f>
        <v>#N/A</v>
      </c>
      <c r="T82" s="236"/>
      <c r="U82" s="236"/>
      <c r="V82" s="236"/>
      <c r="W82" s="236"/>
      <c r="X82" s="236"/>
      <c r="Y82" s="236"/>
      <c r="Z82" s="236"/>
      <c r="AB82" s="86"/>
      <c r="AC82" s="131"/>
      <c r="AD82" s="131"/>
    </row>
    <row r="83" spans="1:30" s="123" customFormat="1" ht="13.2" customHeight="1" x14ac:dyDescent="0.35">
      <c r="A83" s="86"/>
      <c r="B83" s="86"/>
      <c r="C83" s="241" t="e">
        <f>VLOOKUP(B81,Уч!$A$2:$L$16,7,FALSE)</f>
        <v>#N/A</v>
      </c>
      <c r="D83" s="242"/>
      <c r="E83" s="237" t="s">
        <v>70</v>
      </c>
      <c r="F83" s="243" t="e">
        <f>VLOOKUP($B81,'110 сб '!$C$17:$I$87,7,FALSE)</f>
        <v>#N/A</v>
      </c>
      <c r="G83" s="243" t="e">
        <f>VLOOKUP($B81,высота!$C$17:$AF$42,30,FALSE)</f>
        <v>#N/A</v>
      </c>
      <c r="H83" s="243">
        <f>VLOOKUP($B81,ядро!$C$17:$K$43,9,FALSE)</f>
        <v>0</v>
      </c>
      <c r="I83" s="243" t="e">
        <f>VLOOKUP($B81,'2_р'!$C$17:$I$68,7,FALSE)</f>
        <v>#N/A</v>
      </c>
      <c r="J83" s="243" t="e">
        <f>VLOOKUP($B81,Дл_р!$C$17:$O$43,13,FALSE)</f>
        <v>#N/A</v>
      </c>
      <c r="K83" s="243" t="e">
        <f>VLOOKUP($B81,К_р!$C$18:$K$31,9,FALSE)</f>
        <v>#N/A</v>
      </c>
      <c r="L83" s="240" t="e">
        <f>VLOOKUP($B81,'8_р'!$C$17:$H$77,6,FALSE)</f>
        <v>#N/A</v>
      </c>
      <c r="M83" s="152"/>
      <c r="N83" s="244"/>
      <c r="O83" s="152"/>
      <c r="P83" s="243">
        <f>B81</f>
        <v>1416</v>
      </c>
      <c r="Q83" s="131" t="e">
        <f>$A81</f>
        <v>#N/A</v>
      </c>
      <c r="R83" s="131">
        <v>3</v>
      </c>
      <c r="S83" s="131" t="e">
        <f>$A81</f>
        <v>#N/A</v>
      </c>
      <c r="T83" s="236"/>
      <c r="U83" s="236"/>
      <c r="V83" s="236"/>
      <c r="W83" s="236"/>
      <c r="X83" s="236"/>
      <c r="Y83" s="236"/>
      <c r="Z83" s="236"/>
      <c r="AB83" s="86"/>
      <c r="AC83" s="131"/>
      <c r="AD83" s="131"/>
    </row>
    <row r="84" spans="1:30" s="123" customFormat="1" ht="13.2" customHeight="1" x14ac:dyDescent="0.35">
      <c r="A84" s="86"/>
      <c r="B84" s="86"/>
      <c r="C84" s="241" t="e">
        <f>VLOOKUP(B81,Уч!$A$2:$L$16,11,FALSE)</f>
        <v>#N/A</v>
      </c>
      <c r="D84" s="131"/>
      <c r="E84" s="237" t="s">
        <v>77</v>
      </c>
      <c r="F84" s="243" t="e">
        <f>F83</f>
        <v>#N/A</v>
      </c>
      <c r="G84" s="243" t="e">
        <f t="shared" ref="G84:L84" si="26">F84+G83</f>
        <v>#N/A</v>
      </c>
      <c r="H84" s="243" t="e">
        <f t="shared" si="26"/>
        <v>#N/A</v>
      </c>
      <c r="I84" s="243" t="e">
        <f t="shared" si="26"/>
        <v>#N/A</v>
      </c>
      <c r="J84" s="243" t="e">
        <f t="shared" si="26"/>
        <v>#N/A</v>
      </c>
      <c r="K84" s="243" t="e">
        <f t="shared" si="26"/>
        <v>#N/A</v>
      </c>
      <c r="L84" s="240" t="e">
        <f t="shared" si="26"/>
        <v>#N/A</v>
      </c>
      <c r="M84" s="152"/>
      <c r="N84" s="244"/>
      <c r="O84" s="152"/>
      <c r="P84" s="243">
        <f>B81</f>
        <v>1416</v>
      </c>
      <c r="Q84" s="131" t="e">
        <f>$A81</f>
        <v>#N/A</v>
      </c>
      <c r="R84" s="131">
        <v>4</v>
      </c>
      <c r="S84" s="131" t="e">
        <f>$A81</f>
        <v>#N/A</v>
      </c>
      <c r="T84" s="152" t="e">
        <f t="shared" ref="T84:Z84" si="27">F84</f>
        <v>#N/A</v>
      </c>
      <c r="U84" s="152" t="e">
        <f t="shared" si="27"/>
        <v>#N/A</v>
      </c>
      <c r="V84" s="152" t="e">
        <f t="shared" si="27"/>
        <v>#N/A</v>
      </c>
      <c r="W84" s="152" t="e">
        <f t="shared" si="27"/>
        <v>#N/A</v>
      </c>
      <c r="X84" s="152" t="e">
        <f t="shared" si="27"/>
        <v>#N/A</v>
      </c>
      <c r="Y84" s="152" t="e">
        <f t="shared" si="27"/>
        <v>#N/A</v>
      </c>
      <c r="Z84" s="152" t="e">
        <f t="shared" si="27"/>
        <v>#N/A</v>
      </c>
      <c r="AB84" s="86"/>
      <c r="AC84" s="131"/>
      <c r="AD84" s="131"/>
    </row>
    <row r="85" spans="1:30" s="123" customFormat="1" ht="13.2" customHeight="1" thickBot="1" x14ac:dyDescent="0.4">
      <c r="A85" s="245"/>
      <c r="B85" s="245"/>
      <c r="C85" s="246" t="e">
        <f>VLOOKUP(B81,Уч!$A$2:$L$16,12,FALSE)</f>
        <v>#N/A</v>
      </c>
      <c r="D85" s="247"/>
      <c r="E85" s="248" t="s">
        <v>37</v>
      </c>
      <c r="F85" s="249" t="e">
        <f>RANK(F84,$T$19:$T$50,0)</f>
        <v>#N/A</v>
      </c>
      <c r="G85" s="249" t="e">
        <f>RANK(G84,$U$19:$U$50,0)</f>
        <v>#N/A</v>
      </c>
      <c r="H85" s="249" t="e">
        <f>RANK(H84,$V$19:$V$50,0)</f>
        <v>#N/A</v>
      </c>
      <c r="I85" s="249" t="e">
        <f>RANK(I84,$W$19:$W$50,0)</f>
        <v>#N/A</v>
      </c>
      <c r="J85" s="249" t="e">
        <f>RANK(J84,$X$19:$X$50,0)</f>
        <v>#N/A</v>
      </c>
      <c r="K85" s="249" t="e">
        <f>RANK(K84,$Y$19:$Y$50,0)</f>
        <v>#N/A</v>
      </c>
      <c r="L85" s="250" t="e">
        <f>RANK(L84,$Z$19:$Z$50,0)</f>
        <v>#N/A</v>
      </c>
      <c r="M85" s="251"/>
      <c r="N85" s="252"/>
      <c r="O85" s="251"/>
      <c r="P85" s="243">
        <f>B81</f>
        <v>1416</v>
      </c>
      <c r="Q85" s="131" t="e">
        <f>$A81</f>
        <v>#N/A</v>
      </c>
      <c r="R85" s="131">
        <v>5</v>
      </c>
      <c r="S85" s="131" t="e">
        <f>$A81</f>
        <v>#N/A</v>
      </c>
      <c r="T85" s="236"/>
      <c r="U85" s="236"/>
      <c r="V85" s="236"/>
      <c r="W85" s="236"/>
      <c r="X85" s="236"/>
      <c r="Y85" s="236"/>
      <c r="Z85" s="236"/>
      <c r="AB85" s="86"/>
      <c r="AC85" s="131"/>
      <c r="AD85" s="131"/>
    </row>
    <row r="86" spans="1:30" s="123" customFormat="1" ht="13.2" customHeight="1" thickTop="1" x14ac:dyDescent="0.35">
      <c r="A86" s="86" t="e">
        <f>RANK(M86,$M$16:$M$50,0)</f>
        <v>#N/A</v>
      </c>
      <c r="B86" s="86">
        <v>1367</v>
      </c>
      <c r="C86" s="123" t="e">
        <f>VLOOKUP(B86,Уч!$A$2:$L$16,2,FALSE)</f>
        <v>#N/A</v>
      </c>
      <c r="D86" s="231" t="e">
        <f>VLOOKUP(B86,Уч!$A$2:$L$16,3,FALSE)</f>
        <v>#N/A</v>
      </c>
      <c r="E86" s="232" t="s">
        <v>28</v>
      </c>
      <c r="F86" s="233" t="e">
        <f>VLOOKUP($B86,'110 сб '!$C$17:$I$87,5,FALSE)</f>
        <v>#N/A</v>
      </c>
      <c r="G86" s="233" t="e">
        <f>VLOOKUP($B86,высота!$C$17:$AF$42,29,FALSE)</f>
        <v>#N/A</v>
      </c>
      <c r="H86" s="233" t="e">
        <f>VLOOKUP($B86,ядро!$C$17:$K$43,8,FALSE)</f>
        <v>#N/A</v>
      </c>
      <c r="I86" s="233" t="e">
        <f>VLOOKUP($B86,'2_р'!$C$17:$I$68,5,FALSE)</f>
        <v>#N/A</v>
      </c>
      <c r="J86" s="233" t="e">
        <f>VLOOKUP($B86,Дл_р!$C$17:$O$43,11,FALSE)</f>
        <v>#N/A</v>
      </c>
      <c r="K86" s="233" t="e">
        <f>VLOOKUP($B86,К_р!$C$18:$K$31,8,FALSE)</f>
        <v>#N/A</v>
      </c>
      <c r="L86" s="234" t="e">
        <f>VLOOKUP($B86,'8_р'!$C$17:$H$77,5,FALSE)</f>
        <v>#N/A</v>
      </c>
      <c r="M86" s="15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1367</v>
      </c>
      <c r="Q86" s="131" t="e">
        <f>$A86</f>
        <v>#N/A</v>
      </c>
      <c r="R86" s="131">
        <v>1</v>
      </c>
      <c r="S86" s="131" t="e">
        <f>$A86</f>
        <v>#N/A</v>
      </c>
      <c r="T86" s="236"/>
      <c r="U86" s="236"/>
      <c r="V86" s="236"/>
      <c r="W86" s="236"/>
      <c r="X86" s="236"/>
      <c r="Y86" s="236"/>
      <c r="Z86" s="236"/>
      <c r="AB86" s="86"/>
      <c r="AC86" s="131" t="e">
        <f>IF(AND(Q86&gt;16,M86&gt;=4600),"1",LOOKUP(Q86,Q$5:AH$5,Q$6:AH$6))</f>
        <v>#N/A</v>
      </c>
      <c r="AD86" s="131" t="e">
        <f>LOOKUP(N86,R$8:W$8,R$9:W$9)</f>
        <v>#N/A</v>
      </c>
    </row>
    <row r="87" spans="1:30" s="123" customFormat="1" ht="13.2" customHeight="1" x14ac:dyDescent="0.35">
      <c r="A87" s="86"/>
      <c r="B87" s="86"/>
      <c r="C87" s="123" t="e">
        <f>VLOOKUP(B86,Уч!$A$2:$L$16,5,FALSE)</f>
        <v>#N/A</v>
      </c>
      <c r="D87" s="231" t="e">
        <f>VLOOKUP(B86,Уч!$A$2:$L$16,4,FALSE)</f>
        <v>#N/A</v>
      </c>
      <c r="E87" s="237" t="s">
        <v>79</v>
      </c>
      <c r="F87" s="238" t="e">
        <f>VLOOKUP($B86,'110 сб '!$C$17:$I$87,6,FALSE)</f>
        <v>#N/A</v>
      </c>
      <c r="G87" s="239"/>
      <c r="H87" s="239"/>
      <c r="I87" s="238" t="e">
        <f>VLOOKUP($B86,'2_р'!$C$17:$I$68,6,FALSE)</f>
        <v>#N/A</v>
      </c>
      <c r="J87" s="238" t="e">
        <f>VLOOKUP($B86,Дл_р!$C$17:$O$43,12,FALSE)</f>
        <v>#N/A</v>
      </c>
      <c r="K87" s="239"/>
      <c r="L87" s="240"/>
      <c r="M87" s="152"/>
      <c r="N87" s="86"/>
      <c r="O87" s="86" t="e">
        <f>CONCATENATE(AC86,"+",AD86,"+",5)</f>
        <v>#N/A</v>
      </c>
      <c r="P87" s="86">
        <f>B86</f>
        <v>1367</v>
      </c>
      <c r="Q87" s="131" t="e">
        <f>$A86</f>
        <v>#N/A</v>
      </c>
      <c r="R87" s="131">
        <v>2</v>
      </c>
      <c r="S87" s="131" t="e">
        <f>$A86</f>
        <v>#N/A</v>
      </c>
      <c r="T87" s="236"/>
      <c r="U87" s="236"/>
      <c r="V87" s="236"/>
      <c r="W87" s="236"/>
      <c r="X87" s="236"/>
      <c r="Y87" s="236"/>
      <c r="Z87" s="236"/>
      <c r="AB87" s="86"/>
      <c r="AC87" s="131"/>
      <c r="AD87" s="131"/>
    </row>
    <row r="88" spans="1:30" s="123" customFormat="1" ht="13.2" customHeight="1" x14ac:dyDescent="0.35">
      <c r="A88" s="86"/>
      <c r="B88" s="86"/>
      <c r="C88" s="241" t="e">
        <f>VLOOKUP(B86,Уч!$A$2:$L$16,7,FALSE)</f>
        <v>#N/A</v>
      </c>
      <c r="D88" s="242"/>
      <c r="E88" s="237" t="s">
        <v>70</v>
      </c>
      <c r="F88" s="243" t="e">
        <f>VLOOKUP($B86,'110 сб '!$C$17:$I$87,7,FALSE)</f>
        <v>#N/A</v>
      </c>
      <c r="G88" s="243" t="e">
        <f>VLOOKUP($B86,высота!$C$17:$AF$42,30,FALSE)</f>
        <v>#N/A</v>
      </c>
      <c r="H88" s="243" t="e">
        <f>VLOOKUP($B86,ядро!$C$17:$K$43,9,FALSE)</f>
        <v>#N/A</v>
      </c>
      <c r="I88" s="243" t="e">
        <f>VLOOKUP($B86,'2_р'!$C$17:$I$68,7,FALSE)</f>
        <v>#N/A</v>
      </c>
      <c r="J88" s="243" t="e">
        <f>VLOOKUP($B86,Дл_р!$C$17:$O$43,13,FALSE)</f>
        <v>#N/A</v>
      </c>
      <c r="K88" s="243" t="e">
        <f>VLOOKUP($B86,К_р!$C$18:$K$31,9,FALSE)</f>
        <v>#N/A</v>
      </c>
      <c r="L88" s="240" t="e">
        <f>VLOOKUP($B86,'8_р'!$C$17:$H$77,6,FALSE)</f>
        <v>#N/A</v>
      </c>
      <c r="M88" s="152"/>
      <c r="N88" s="244"/>
      <c r="O88" s="152"/>
      <c r="P88" s="243">
        <f>B86</f>
        <v>1367</v>
      </c>
      <c r="Q88" s="131" t="e">
        <f>$A86</f>
        <v>#N/A</v>
      </c>
      <c r="R88" s="131">
        <v>3</v>
      </c>
      <c r="S88" s="131" t="e">
        <f>$A86</f>
        <v>#N/A</v>
      </c>
      <c r="T88" s="236"/>
      <c r="U88" s="236"/>
      <c r="V88" s="236"/>
      <c r="W88" s="236"/>
      <c r="X88" s="236"/>
      <c r="Y88" s="236"/>
      <c r="Z88" s="236"/>
      <c r="AB88" s="86"/>
      <c r="AC88" s="131"/>
      <c r="AD88" s="131"/>
    </row>
    <row r="89" spans="1:30" s="123" customFormat="1" ht="13.2" customHeight="1" x14ac:dyDescent="0.35">
      <c r="A89" s="86"/>
      <c r="B89" s="86"/>
      <c r="C89" s="241" t="e">
        <f>VLOOKUP(B86,Уч!$A$2:$L$16,11,FALSE)</f>
        <v>#N/A</v>
      </c>
      <c r="D89" s="131"/>
      <c r="E89" s="237" t="s">
        <v>77</v>
      </c>
      <c r="F89" s="243" t="e">
        <f>F88</f>
        <v>#N/A</v>
      </c>
      <c r="G89" s="243" t="e">
        <f t="shared" ref="G89:L89" si="28">F89+G88</f>
        <v>#N/A</v>
      </c>
      <c r="H89" s="243" t="e">
        <f t="shared" si="28"/>
        <v>#N/A</v>
      </c>
      <c r="I89" s="243" t="e">
        <f t="shared" si="28"/>
        <v>#N/A</v>
      </c>
      <c r="J89" s="243" t="e">
        <f t="shared" si="28"/>
        <v>#N/A</v>
      </c>
      <c r="K89" s="243" t="e">
        <f t="shared" si="28"/>
        <v>#N/A</v>
      </c>
      <c r="L89" s="240" t="e">
        <f t="shared" si="28"/>
        <v>#N/A</v>
      </c>
      <c r="M89" s="152"/>
      <c r="N89" s="244"/>
      <c r="O89" s="152"/>
      <c r="P89" s="243">
        <f>B86</f>
        <v>1367</v>
      </c>
      <c r="Q89" s="131" t="e">
        <f>$A86</f>
        <v>#N/A</v>
      </c>
      <c r="R89" s="131">
        <v>4</v>
      </c>
      <c r="S89" s="131" t="e">
        <f>$A86</f>
        <v>#N/A</v>
      </c>
      <c r="T89" s="152" t="e">
        <f t="shared" ref="T89:Z89" si="29">F89</f>
        <v>#N/A</v>
      </c>
      <c r="U89" s="152" t="e">
        <f t="shared" si="29"/>
        <v>#N/A</v>
      </c>
      <c r="V89" s="152" t="e">
        <f t="shared" si="29"/>
        <v>#N/A</v>
      </c>
      <c r="W89" s="152" t="e">
        <f t="shared" si="29"/>
        <v>#N/A</v>
      </c>
      <c r="X89" s="152" t="e">
        <f t="shared" si="29"/>
        <v>#N/A</v>
      </c>
      <c r="Y89" s="152" t="e">
        <f t="shared" si="29"/>
        <v>#N/A</v>
      </c>
      <c r="Z89" s="152" t="e">
        <f t="shared" si="29"/>
        <v>#N/A</v>
      </c>
      <c r="AB89" s="86"/>
      <c r="AC89" s="131"/>
      <c r="AD89" s="131"/>
    </row>
    <row r="90" spans="1:30" s="123" customFormat="1" ht="13.2" customHeight="1" thickBot="1" x14ac:dyDescent="0.4">
      <c r="A90" s="245"/>
      <c r="B90" s="245"/>
      <c r="C90" s="246" t="e">
        <f>VLOOKUP(B86,Уч!$A$2:$L$16,12,FALSE)</f>
        <v>#N/A</v>
      </c>
      <c r="D90" s="247"/>
      <c r="E90" s="248" t="s">
        <v>37</v>
      </c>
      <c r="F90" s="249" t="e">
        <f>RANK(F89,$T$19:$T$50,0)</f>
        <v>#N/A</v>
      </c>
      <c r="G90" s="249" t="e">
        <f>RANK(G89,$U$19:$U$50,0)</f>
        <v>#N/A</v>
      </c>
      <c r="H90" s="249" t="e">
        <f>RANK(H89,$V$19:$V$50,0)</f>
        <v>#N/A</v>
      </c>
      <c r="I90" s="249" t="e">
        <f>RANK(I89,$W$19:$W$50,0)</f>
        <v>#N/A</v>
      </c>
      <c r="J90" s="249" t="e">
        <f>RANK(J89,$X$19:$X$50,0)</f>
        <v>#N/A</v>
      </c>
      <c r="K90" s="249" t="e">
        <f>RANK(K89,$Y$19:$Y$50,0)</f>
        <v>#N/A</v>
      </c>
      <c r="L90" s="250" t="e">
        <f>RANK(L89,$Z$19:$Z$50,0)</f>
        <v>#N/A</v>
      </c>
      <c r="M90" s="251"/>
      <c r="N90" s="252"/>
      <c r="O90" s="251"/>
      <c r="P90" s="243">
        <f>B86</f>
        <v>1367</v>
      </c>
      <c r="Q90" s="131" t="e">
        <f>$A86</f>
        <v>#N/A</v>
      </c>
      <c r="R90" s="131">
        <v>5</v>
      </c>
      <c r="S90" s="131" t="e">
        <f>$A86</f>
        <v>#N/A</v>
      </c>
      <c r="T90" s="236"/>
      <c r="U90" s="236"/>
      <c r="V90" s="236"/>
      <c r="W90" s="236"/>
      <c r="X90" s="236"/>
      <c r="Y90" s="236"/>
      <c r="Z90" s="236"/>
      <c r="AB90" s="86"/>
      <c r="AC90" s="131"/>
      <c r="AD90" s="131"/>
    </row>
    <row r="91" spans="1:30" s="123" customFormat="1" ht="13.2" customHeight="1" thickTop="1" x14ac:dyDescent="0.35">
      <c r="A91" s="86"/>
      <c r="B91" s="86"/>
      <c r="C91" s="241"/>
      <c r="D91" s="242"/>
      <c r="E91" s="264"/>
      <c r="F91" s="243"/>
      <c r="G91" s="243"/>
      <c r="H91" s="243"/>
      <c r="I91" s="243"/>
      <c r="J91" s="243"/>
      <c r="K91" s="243"/>
      <c r="L91" s="243"/>
      <c r="M91" s="152"/>
      <c r="N91" s="244"/>
      <c r="O91" s="152"/>
      <c r="P91" s="243"/>
      <c r="Q91" s="131"/>
      <c r="R91" s="131"/>
      <c r="S91" s="131"/>
      <c r="T91" s="236"/>
      <c r="U91" s="236"/>
      <c r="V91" s="236"/>
      <c r="W91" s="236"/>
      <c r="X91" s="236"/>
      <c r="Y91" s="236"/>
      <c r="Z91" s="236"/>
      <c r="AB91" s="86"/>
      <c r="AC91" s="131"/>
      <c r="AD91" s="131"/>
    </row>
    <row r="92" spans="1:30" s="123" customFormat="1" ht="13.2" customHeight="1" x14ac:dyDescent="0.35">
      <c r="A92" s="86"/>
      <c r="B92" s="86"/>
      <c r="C92" s="123" t="s">
        <v>71</v>
      </c>
      <c r="D92" s="244"/>
      <c r="F92" s="86"/>
      <c r="H92" s="244" t="s">
        <v>85</v>
      </c>
      <c r="J92" s="243"/>
      <c r="K92" s="243"/>
      <c r="L92" s="243"/>
      <c r="M92" s="152"/>
      <c r="N92" s="244"/>
      <c r="O92" s="152"/>
      <c r="P92" s="243"/>
      <c r="Q92" s="131"/>
      <c r="R92" s="131"/>
      <c r="S92" s="131"/>
      <c r="T92" s="236"/>
      <c r="U92" s="236"/>
      <c r="V92" s="236"/>
      <c r="W92" s="236"/>
      <c r="X92" s="236"/>
      <c r="Y92" s="236"/>
      <c r="Z92" s="236"/>
      <c r="AB92" s="86"/>
      <c r="AC92" s="131"/>
      <c r="AD92" s="131"/>
    </row>
    <row r="93" spans="1:30" s="123" customFormat="1" ht="13.2" customHeight="1" x14ac:dyDescent="0.35">
      <c r="A93" s="86"/>
      <c r="B93" s="86"/>
      <c r="D93" s="244"/>
      <c r="F93" s="86"/>
      <c r="H93" s="86"/>
      <c r="J93" s="243"/>
      <c r="K93" s="243"/>
      <c r="L93" s="243"/>
      <c r="M93" s="152"/>
      <c r="N93" s="244"/>
      <c r="O93" s="152"/>
      <c r="P93" s="243"/>
      <c r="Q93" s="131"/>
      <c r="R93" s="131"/>
      <c r="S93" s="131"/>
      <c r="T93" s="236"/>
      <c r="U93" s="236"/>
      <c r="V93" s="236"/>
      <c r="W93" s="236"/>
      <c r="X93" s="236"/>
      <c r="Y93" s="236"/>
      <c r="Z93" s="236"/>
      <c r="AB93" s="86"/>
      <c r="AC93" s="131"/>
      <c r="AD93" s="131"/>
    </row>
    <row r="94" spans="1:30" s="123" customFormat="1" ht="13.2" customHeight="1" thickBot="1" x14ac:dyDescent="0.4">
      <c r="A94" s="86"/>
      <c r="B94" s="86"/>
      <c r="C94" s="123" t="s">
        <v>72</v>
      </c>
      <c r="D94" s="244"/>
      <c r="F94" s="86"/>
      <c r="H94" s="244" t="s">
        <v>86</v>
      </c>
      <c r="J94" s="243"/>
      <c r="K94" s="243"/>
      <c r="L94" s="243"/>
      <c r="M94" s="152"/>
      <c r="N94" s="244"/>
      <c r="O94" s="152"/>
      <c r="P94" s="243"/>
      <c r="Q94" s="131"/>
      <c r="R94" s="131"/>
      <c r="S94" s="131"/>
      <c r="T94" s="236"/>
      <c r="U94" s="236"/>
      <c r="V94" s="236"/>
      <c r="W94" s="236"/>
      <c r="X94" s="236"/>
      <c r="Y94" s="236"/>
      <c r="Z94" s="236"/>
      <c r="AB94" s="86"/>
      <c r="AC94" s="131"/>
      <c r="AD94" s="131"/>
    </row>
    <row r="95" spans="1:30" s="123" customFormat="1" ht="13.2" customHeight="1" outlineLevel="1" thickTop="1" x14ac:dyDescent="0.35">
      <c r="A95" s="68">
        <v>22</v>
      </c>
      <c r="B95" s="86"/>
      <c r="C95" s="123" t="e">
        <f>VLOOKUP(B95,Уч!$A$2:$L$18,2,FALSE)</f>
        <v>#N/A</v>
      </c>
      <c r="D95" s="231" t="e">
        <f>VLOOKUP(B95,Уч!$A$2:$L$18,3,FALSE)</f>
        <v>#N/A</v>
      </c>
      <c r="E95" s="265" t="s">
        <v>28</v>
      </c>
      <c r="F95" s="266" t="e">
        <f>VLOOKUP($B95,'110 сб '!$C$17:$I$87,5,FALSE)</f>
        <v>#N/A</v>
      </c>
      <c r="G95" s="267" t="e">
        <f>VLOOKUP($B95,высота!$C$17:$AF$42,17,FALSE)</f>
        <v>#N/A</v>
      </c>
      <c r="H95" s="267" t="e">
        <f>VLOOKUP($B95,ядро!$C$17:$K$43,8,FALSE)</f>
        <v>#N/A</v>
      </c>
      <c r="I95" s="267" t="e">
        <f>VLOOKUP($B95,'2_р'!$C$17:$I$68,5,FALSE)</f>
        <v>#N/A</v>
      </c>
      <c r="J95" s="266" t="e">
        <f>VLOOKUP($B95,Дл_р!$C$17:$O$43,11,FALSE)</f>
        <v>#N/A</v>
      </c>
      <c r="K95" s="266" t="e">
        <f>VLOOKUP($B95,К_р!$C$18:$K$31,8,FALSE)</f>
        <v>#N/A</v>
      </c>
      <c r="L95" s="268" t="e">
        <f>VLOOKUP($B95,'8_р'!$C$17:$H$77,5,FALSE)</f>
        <v>#N/A</v>
      </c>
      <c r="M95" s="244" t="s">
        <v>78</v>
      </c>
      <c r="N95" s="86"/>
      <c r="O95" s="86"/>
      <c r="P95" s="86"/>
      <c r="Q95" s="131">
        <f>$A95</f>
        <v>22</v>
      </c>
      <c r="R95" s="131">
        <v>1</v>
      </c>
      <c r="S95" s="131"/>
      <c r="T95" s="236"/>
      <c r="U95" s="236"/>
      <c r="V95" s="236"/>
      <c r="W95" s="236"/>
      <c r="X95" s="236"/>
      <c r="Y95" s="236"/>
      <c r="Z95" s="236"/>
      <c r="AB95" s="86"/>
    </row>
    <row r="96" spans="1:30" s="123" customFormat="1" ht="13.2" customHeight="1" outlineLevel="1" x14ac:dyDescent="0.35">
      <c r="A96" s="86"/>
      <c r="B96" s="86"/>
      <c r="C96" s="123" t="e">
        <f>VLOOKUP(B95,Уч!$A$2:$L$18,5,FALSE)</f>
        <v>#N/A</v>
      </c>
      <c r="D96" s="231" t="e">
        <f>VLOOKUP(B95,Уч!$A$2:$L$18,4,FALSE)</f>
        <v>#N/A</v>
      </c>
      <c r="E96" s="269" t="s">
        <v>70</v>
      </c>
      <c r="F96" s="270" t="e">
        <f>VLOOKUP($B95,'110 сб '!$C$17:$I$87,7,FALSE)</f>
        <v>#N/A</v>
      </c>
      <c r="G96" s="271" t="e">
        <f>VLOOKUP($B95,высота!$C$17:$AF$42,18,FALSE)</f>
        <v>#N/A</v>
      </c>
      <c r="H96" s="271" t="e">
        <f>VLOOKUP($B95,ядро!$C$17:$K$43,9,FALSE)</f>
        <v>#N/A</v>
      </c>
      <c r="I96" s="271" t="e">
        <f>VLOOKUP($B95,'2_р'!$C$17:$I$68,7,FALSE)</f>
        <v>#N/A</v>
      </c>
      <c r="J96" s="270" t="e">
        <f>VLOOKUP($B95,Дл_р!$C$17:$O$43,13,FALSE)</f>
        <v>#N/A</v>
      </c>
      <c r="K96" s="270" t="e">
        <f>VLOOKUP($B95,К_р!$C$18:$K$31,9,FALSE)</f>
        <v>#N/A</v>
      </c>
      <c r="L96" s="272" t="e">
        <f>VLOOKUP($B95,'8_р'!$C$17:$H$77,6,FALSE)</f>
        <v>#N/A</v>
      </c>
      <c r="M96" s="152"/>
      <c r="N96" s="244"/>
      <c r="O96" s="152"/>
      <c r="P96" s="243"/>
      <c r="Q96" s="131">
        <f>$A95</f>
        <v>22</v>
      </c>
      <c r="R96" s="131">
        <v>2</v>
      </c>
      <c r="S96" s="131"/>
      <c r="T96" s="236"/>
      <c r="U96" s="236"/>
      <c r="V96" s="236"/>
      <c r="W96" s="236"/>
      <c r="X96" s="236"/>
      <c r="Y96" s="236"/>
      <c r="Z96" s="236"/>
      <c r="AB96" s="86"/>
    </row>
    <row r="97" spans="1:28" s="123" customFormat="1" ht="13.2" customHeight="1" outlineLevel="1" x14ac:dyDescent="0.35">
      <c r="A97" s="86"/>
      <c r="B97" s="86"/>
      <c r="C97" s="241" t="e">
        <f>VLOOKUP(B95,Уч!$A$2:$L$18,7,FALSE)</f>
        <v>#N/A</v>
      </c>
      <c r="D97" s="242"/>
      <c r="E97" s="269" t="s">
        <v>77</v>
      </c>
      <c r="F97" s="270" t="e">
        <f>F96</f>
        <v>#N/A</v>
      </c>
      <c r="G97" s="271" t="e">
        <f t="shared" ref="G97:L97" si="30">F97+G96</f>
        <v>#N/A</v>
      </c>
      <c r="H97" s="271" t="e">
        <f t="shared" si="30"/>
        <v>#N/A</v>
      </c>
      <c r="I97" s="271" t="e">
        <f t="shared" si="30"/>
        <v>#N/A</v>
      </c>
      <c r="J97" s="270" t="e">
        <f t="shared" si="30"/>
        <v>#N/A</v>
      </c>
      <c r="K97" s="270" t="e">
        <f t="shared" si="30"/>
        <v>#N/A</v>
      </c>
      <c r="L97" s="272" t="e">
        <f t="shared" si="30"/>
        <v>#N/A</v>
      </c>
      <c r="M97" s="152"/>
      <c r="N97" s="244"/>
      <c r="O97" s="152"/>
      <c r="P97" s="243"/>
      <c r="Q97" s="131">
        <f>$A95</f>
        <v>22</v>
      </c>
      <c r="R97" s="131">
        <v>3</v>
      </c>
      <c r="S97" s="131"/>
      <c r="T97" s="152" t="e">
        <f t="shared" ref="T97:Z97" si="31">F97</f>
        <v>#N/A</v>
      </c>
      <c r="U97" s="152" t="e">
        <f t="shared" si="31"/>
        <v>#N/A</v>
      </c>
      <c r="V97" s="152" t="e">
        <f t="shared" si="31"/>
        <v>#N/A</v>
      </c>
      <c r="W97" s="152" t="e">
        <f t="shared" si="31"/>
        <v>#N/A</v>
      </c>
      <c r="X97" s="152" t="e">
        <f t="shared" si="31"/>
        <v>#N/A</v>
      </c>
      <c r="Y97" s="152" t="e">
        <f t="shared" si="31"/>
        <v>#N/A</v>
      </c>
      <c r="Z97" s="152" t="e">
        <f t="shared" si="31"/>
        <v>#N/A</v>
      </c>
      <c r="AB97" s="86"/>
    </row>
    <row r="98" spans="1:28" s="123" customFormat="1" ht="13.2" customHeight="1" outlineLevel="1" thickBot="1" x14ac:dyDescent="0.4">
      <c r="A98" s="245"/>
      <c r="B98" s="245"/>
      <c r="C98" s="246" t="e">
        <f>VLOOKUP(B95,Уч!$A$2:$L$18,11,FALSE)</f>
        <v>#N/A</v>
      </c>
      <c r="D98" s="247"/>
      <c r="E98" s="273" t="s">
        <v>37</v>
      </c>
      <c r="F98" s="274" t="e">
        <f>RANK(F97,$T$19:$T$60,0)</f>
        <v>#N/A</v>
      </c>
      <c r="G98" s="275" t="e">
        <f>RANK(G97,$U$19:$U$60,0)</f>
        <v>#N/A</v>
      </c>
      <c r="H98" s="275" t="e">
        <f>RANK(H97,$V$19:$V$60,0)</f>
        <v>#N/A</v>
      </c>
      <c r="I98" s="275" t="e">
        <f>RANK(I97,$W$19:$W$60,0)</f>
        <v>#N/A</v>
      </c>
      <c r="J98" s="274" t="e">
        <f>RANK(J97,$X$19:$X$60,0)</f>
        <v>#N/A</v>
      </c>
      <c r="K98" s="274" t="e">
        <f>RANK(K97,$Y$19:$Y$60,0)</f>
        <v>#N/A</v>
      </c>
      <c r="L98" s="276" t="e">
        <f>RANK(L97,$Z$19:$Z$60,0)</f>
        <v>#N/A</v>
      </c>
      <c r="M98" s="251"/>
      <c r="N98" s="252"/>
      <c r="O98" s="251"/>
      <c r="P98" s="243"/>
      <c r="Q98" s="131">
        <f>$A95</f>
        <v>22</v>
      </c>
      <c r="R98" s="131">
        <v>4</v>
      </c>
      <c r="S98" s="131"/>
      <c r="T98" s="236"/>
      <c r="U98" s="236"/>
      <c r="V98" s="236"/>
      <c r="W98" s="236"/>
      <c r="X98" s="236"/>
      <c r="Y98" s="236"/>
      <c r="Z98" s="236"/>
      <c r="AB98" s="86"/>
    </row>
    <row r="99" spans="1:28" s="123" customFormat="1" ht="13.2" customHeight="1" outlineLevel="1" thickTop="1" x14ac:dyDescent="0.35">
      <c r="A99" s="68">
        <v>23</v>
      </c>
      <c r="B99" s="86"/>
      <c r="C99" s="123" t="e">
        <f>VLOOKUP(B99,Уч!$A$2:$L$18,2,FALSE)</f>
        <v>#N/A</v>
      </c>
      <c r="D99" s="231" t="e">
        <f>VLOOKUP(B99,Уч!$A$2:$L$18,3,FALSE)</f>
        <v>#N/A</v>
      </c>
      <c r="E99" s="265" t="s">
        <v>28</v>
      </c>
      <c r="F99" s="266" t="e">
        <f>VLOOKUP($B99,'110 сб '!$C$17:$I$87,5,FALSE)</f>
        <v>#N/A</v>
      </c>
      <c r="G99" s="267" t="e">
        <f>VLOOKUP($B99,высота!$C$17:$AF$42,17,FALSE)</f>
        <v>#N/A</v>
      </c>
      <c r="H99" s="267" t="e">
        <f>VLOOKUP($B99,ядро!$C$17:$K$43,8,FALSE)</f>
        <v>#N/A</v>
      </c>
      <c r="I99" s="267" t="e">
        <f>VLOOKUP($B99,'2_р'!$C$17:$I$68,5,FALSE)</f>
        <v>#N/A</v>
      </c>
      <c r="J99" s="266" t="e">
        <f>VLOOKUP($B99,Дл_р!$C$17:$O$43,11,FALSE)</f>
        <v>#N/A</v>
      </c>
      <c r="K99" s="266" t="e">
        <f>VLOOKUP($B99,К_р!$C$18:$K$31,8,FALSE)</f>
        <v>#N/A</v>
      </c>
      <c r="L99" s="268" t="e">
        <f>VLOOKUP($B99,'8_р'!$C$17:$H$77,5,FALSE)</f>
        <v>#N/A</v>
      </c>
      <c r="M99" s="244" t="s">
        <v>78</v>
      </c>
      <c r="O99" s="86"/>
      <c r="P99" s="86"/>
      <c r="Q99" s="131">
        <f>$A99</f>
        <v>23</v>
      </c>
      <c r="R99" s="131">
        <v>1</v>
      </c>
      <c r="S99" s="131"/>
      <c r="T99" s="236"/>
      <c r="U99" s="236"/>
      <c r="V99" s="236"/>
      <c r="W99" s="236"/>
      <c r="X99" s="236"/>
      <c r="Y99" s="236"/>
      <c r="Z99" s="236"/>
      <c r="AB99" s="86"/>
    </row>
    <row r="100" spans="1:28" s="123" customFormat="1" ht="13.2" customHeight="1" outlineLevel="1" x14ac:dyDescent="0.35">
      <c r="A100" s="86"/>
      <c r="B100" s="86"/>
      <c r="C100" s="123" t="e">
        <f>VLOOKUP(B99,Уч!$A$2:$L$18,5,FALSE)</f>
        <v>#N/A</v>
      </c>
      <c r="D100" s="231" t="e">
        <f>VLOOKUP(B99,Уч!$A$2:$L$18,4,FALSE)</f>
        <v>#N/A</v>
      </c>
      <c r="E100" s="269" t="s">
        <v>70</v>
      </c>
      <c r="F100" s="270" t="e">
        <f>VLOOKUP($B99,'110 сб '!$C$17:$I$87,7,FALSE)</f>
        <v>#N/A</v>
      </c>
      <c r="G100" s="271" t="e">
        <f>VLOOKUP($B99,высота!$C$17:$AF$42,18,FALSE)</f>
        <v>#N/A</v>
      </c>
      <c r="H100" s="271" t="e">
        <f>VLOOKUP($B99,ядро!$C$17:$K$43,9,FALSE)</f>
        <v>#N/A</v>
      </c>
      <c r="I100" s="271" t="e">
        <f>VLOOKUP($B99,'2_р'!$C$17:$I$68,7,FALSE)</f>
        <v>#N/A</v>
      </c>
      <c r="J100" s="270" t="e">
        <f>VLOOKUP($B99,Дл_р!$C$17:$O$43,13,FALSE)</f>
        <v>#N/A</v>
      </c>
      <c r="K100" s="270" t="e">
        <f>VLOOKUP($B99,К_р!$C$18:$K$31,9,FALSE)</f>
        <v>#N/A</v>
      </c>
      <c r="L100" s="272" t="e">
        <f>VLOOKUP($B99,'8_р'!$C$17:$H$77,6,FALSE)</f>
        <v>#N/A</v>
      </c>
      <c r="M100" s="152"/>
      <c r="N100" s="244"/>
      <c r="O100" s="152"/>
      <c r="P100" s="243"/>
      <c r="Q100" s="131">
        <f>$A99</f>
        <v>23</v>
      </c>
      <c r="R100" s="131">
        <v>2</v>
      </c>
      <c r="S100" s="131"/>
      <c r="T100" s="236"/>
      <c r="U100" s="236"/>
      <c r="V100" s="236"/>
      <c r="W100" s="236"/>
      <c r="X100" s="236"/>
      <c r="Y100" s="236"/>
      <c r="Z100" s="236"/>
      <c r="AB100" s="86"/>
    </row>
    <row r="101" spans="1:28" s="123" customFormat="1" ht="13.2" customHeight="1" outlineLevel="1" x14ac:dyDescent="0.35">
      <c r="A101" s="86"/>
      <c r="B101" s="86"/>
      <c r="C101" s="241" t="e">
        <f>VLOOKUP(B99,Уч!$A$2:$L$18,7,FALSE)</f>
        <v>#N/A</v>
      </c>
      <c r="D101" s="242"/>
      <c r="E101" s="269" t="s">
        <v>77</v>
      </c>
      <c r="F101" s="270" t="e">
        <f>F100</f>
        <v>#N/A</v>
      </c>
      <c r="G101" s="271" t="e">
        <f t="shared" ref="G101:L101" si="32">F101+G100</f>
        <v>#N/A</v>
      </c>
      <c r="H101" s="271" t="e">
        <f t="shared" si="32"/>
        <v>#N/A</v>
      </c>
      <c r="I101" s="271" t="e">
        <f t="shared" si="32"/>
        <v>#N/A</v>
      </c>
      <c r="J101" s="270" t="e">
        <f t="shared" si="32"/>
        <v>#N/A</v>
      </c>
      <c r="K101" s="270" t="e">
        <f t="shared" si="32"/>
        <v>#N/A</v>
      </c>
      <c r="L101" s="272" t="e">
        <f t="shared" si="32"/>
        <v>#N/A</v>
      </c>
      <c r="M101" s="152"/>
      <c r="N101" s="244"/>
      <c r="O101" s="152"/>
      <c r="P101" s="243"/>
      <c r="Q101" s="131">
        <f>$A99</f>
        <v>23</v>
      </c>
      <c r="R101" s="131">
        <v>3</v>
      </c>
      <c r="S101" s="131"/>
      <c r="T101" s="152" t="e">
        <f t="shared" ref="T101:Z101" si="33">F101</f>
        <v>#N/A</v>
      </c>
      <c r="U101" s="152" t="e">
        <f t="shared" si="33"/>
        <v>#N/A</v>
      </c>
      <c r="V101" s="152" t="e">
        <f t="shared" si="33"/>
        <v>#N/A</v>
      </c>
      <c r="W101" s="152" t="e">
        <f t="shared" si="33"/>
        <v>#N/A</v>
      </c>
      <c r="X101" s="152" t="e">
        <f t="shared" si="33"/>
        <v>#N/A</v>
      </c>
      <c r="Y101" s="152" t="e">
        <f t="shared" si="33"/>
        <v>#N/A</v>
      </c>
      <c r="Z101" s="152" t="e">
        <f t="shared" si="33"/>
        <v>#N/A</v>
      </c>
      <c r="AB101" s="86"/>
    </row>
    <row r="102" spans="1:28" s="123" customFormat="1" ht="13.2" customHeight="1" outlineLevel="1" thickBot="1" x14ac:dyDescent="0.4">
      <c r="A102" s="245"/>
      <c r="B102" s="245"/>
      <c r="C102" s="246" t="e">
        <f>VLOOKUP(B99,Уч!$A$2:$L$18,11,FALSE)</f>
        <v>#N/A</v>
      </c>
      <c r="D102" s="247"/>
      <c r="E102" s="273" t="s">
        <v>37</v>
      </c>
      <c r="F102" s="274" t="e">
        <f>RANK(F101,$T$19:$T$60,0)</f>
        <v>#N/A</v>
      </c>
      <c r="G102" s="275" t="e">
        <f>RANK(G101,$U$19:$U$60,0)</f>
        <v>#N/A</v>
      </c>
      <c r="H102" s="275" t="e">
        <f>RANK(H101,$V$19:$V$60,0)</f>
        <v>#N/A</v>
      </c>
      <c r="I102" s="275" t="e">
        <f>RANK(I101,$W$19:$W$60,0)</f>
        <v>#N/A</v>
      </c>
      <c r="J102" s="274" t="e">
        <f>RANK(J101,$X$19:$X$60,0)</f>
        <v>#N/A</v>
      </c>
      <c r="K102" s="274" t="e">
        <f>RANK(K101,$Y$19:$Y$60,0)</f>
        <v>#N/A</v>
      </c>
      <c r="L102" s="276" t="e">
        <f>RANK(L101,$Z$19:$Z$60,0)</f>
        <v>#N/A</v>
      </c>
      <c r="M102" s="251"/>
      <c r="N102" s="252"/>
      <c r="O102" s="251"/>
      <c r="P102" s="243"/>
      <c r="Q102" s="131">
        <f>$A99</f>
        <v>23</v>
      </c>
      <c r="R102" s="131">
        <v>4</v>
      </c>
      <c r="S102" s="131"/>
      <c r="T102" s="236"/>
      <c r="U102" s="236"/>
      <c r="V102" s="236"/>
      <c r="W102" s="236"/>
      <c r="X102" s="236"/>
      <c r="Y102" s="236"/>
      <c r="Z102" s="236"/>
      <c r="AB102" s="86"/>
    </row>
    <row r="103" spans="1:28" s="123" customFormat="1" ht="13.2" customHeight="1" collapsed="1" thickTop="1" x14ac:dyDescent="0.35">
      <c r="A103" s="86"/>
      <c r="B103" s="86"/>
      <c r="C103" s="241"/>
      <c r="D103" s="242"/>
      <c r="E103" s="264"/>
      <c r="F103" s="243"/>
      <c r="G103" s="243"/>
      <c r="H103" s="243"/>
      <c r="I103" s="243"/>
      <c r="J103" s="243"/>
      <c r="K103" s="243"/>
      <c r="L103" s="243"/>
      <c r="M103" s="152"/>
      <c r="N103" s="244"/>
      <c r="O103" s="152"/>
      <c r="P103" s="243"/>
      <c r="Q103" s="131"/>
      <c r="R103" s="131"/>
      <c r="S103" s="131"/>
      <c r="T103" s="236"/>
      <c r="U103" s="236"/>
      <c r="V103" s="236"/>
      <c r="W103" s="236"/>
      <c r="X103" s="236"/>
      <c r="Y103" s="236"/>
      <c r="Z103" s="236"/>
      <c r="AB103" s="86"/>
    </row>
    <row r="104" spans="1:28" s="123" customFormat="1" ht="13.2" customHeight="1" x14ac:dyDescent="0.35">
      <c r="A104" s="86"/>
      <c r="B104" s="86"/>
      <c r="C104" s="241"/>
      <c r="D104" s="242"/>
      <c r="E104" s="264"/>
      <c r="F104" s="243"/>
      <c r="G104" s="243"/>
      <c r="H104" s="243"/>
      <c r="I104" s="243"/>
      <c r="J104" s="243"/>
      <c r="K104" s="243"/>
      <c r="L104" s="243"/>
      <c r="M104" s="152"/>
      <c r="N104" s="244"/>
      <c r="O104" s="152"/>
      <c r="P104" s="243"/>
      <c r="Q104" s="131"/>
      <c r="R104" s="131"/>
      <c r="S104" s="131"/>
      <c r="T104" s="236"/>
      <c r="U104" s="236"/>
      <c r="V104" s="236"/>
      <c r="W104" s="236"/>
      <c r="X104" s="236"/>
      <c r="Y104" s="236"/>
      <c r="Z104" s="236"/>
      <c r="AB104" s="86"/>
    </row>
    <row r="105" spans="1:28" s="123" customFormat="1" ht="13.2" customHeight="1" x14ac:dyDescent="0.35">
      <c r="A105" s="86"/>
      <c r="B105" s="86"/>
      <c r="C105" s="241"/>
      <c r="D105" s="242"/>
      <c r="E105" s="264"/>
      <c r="F105" s="243"/>
      <c r="G105" s="243"/>
      <c r="H105" s="243"/>
      <c r="I105" s="243"/>
      <c r="J105" s="243"/>
      <c r="K105" s="243"/>
      <c r="L105" s="243"/>
      <c r="M105" s="152"/>
      <c r="N105" s="244"/>
      <c r="O105" s="152"/>
      <c r="P105" s="243"/>
      <c r="Q105" s="131"/>
      <c r="R105" s="131"/>
      <c r="S105" s="131"/>
      <c r="T105" s="236"/>
      <c r="U105" s="236"/>
      <c r="V105" s="236"/>
      <c r="W105" s="236"/>
      <c r="X105" s="236"/>
      <c r="Y105" s="236"/>
      <c r="Z105" s="236"/>
      <c r="AB105" s="86"/>
    </row>
    <row r="106" spans="1:28" s="123" customFormat="1" ht="13.2" customHeight="1" x14ac:dyDescent="0.35">
      <c r="A106" s="86"/>
      <c r="B106" s="86"/>
      <c r="C106" s="241"/>
      <c r="D106" s="242"/>
      <c r="E106" s="264"/>
      <c r="F106" s="243"/>
      <c r="G106" s="243"/>
      <c r="H106" s="243"/>
      <c r="I106" s="243"/>
      <c r="J106" s="243"/>
      <c r="K106" s="243"/>
      <c r="L106" s="243"/>
      <c r="M106" s="152"/>
      <c r="N106" s="244"/>
      <c r="O106" s="152"/>
      <c r="P106" s="243"/>
      <c r="Q106" s="131"/>
      <c r="R106" s="131"/>
      <c r="S106" s="131"/>
      <c r="T106" s="236"/>
      <c r="U106" s="236"/>
      <c r="V106" s="236"/>
      <c r="W106" s="236"/>
      <c r="X106" s="236"/>
      <c r="Y106" s="236"/>
      <c r="Z106" s="236"/>
      <c r="AB106" s="86"/>
    </row>
    <row r="107" spans="1:28" s="123" customFormat="1" ht="13.2" customHeight="1" x14ac:dyDescent="0.35">
      <c r="A107" s="86"/>
      <c r="B107" s="86"/>
      <c r="C107" s="241"/>
      <c r="D107" s="242"/>
      <c r="E107" s="264"/>
      <c r="F107" s="243"/>
      <c r="G107" s="243"/>
      <c r="H107" s="243"/>
      <c r="I107" s="243"/>
      <c r="J107" s="243"/>
      <c r="K107" s="243"/>
      <c r="L107" s="243"/>
      <c r="M107" s="152"/>
      <c r="N107" s="244"/>
      <c r="O107" s="152"/>
      <c r="P107" s="243"/>
      <c r="Q107" s="131"/>
      <c r="R107" s="131"/>
      <c r="S107" s="131"/>
      <c r="T107" s="236"/>
      <c r="U107" s="236"/>
      <c r="V107" s="236"/>
      <c r="W107" s="236"/>
      <c r="X107" s="236"/>
      <c r="Y107" s="236"/>
      <c r="Z107" s="236"/>
      <c r="AB107" s="86"/>
    </row>
    <row r="108" spans="1:28" s="123" customFormat="1" ht="13.2" customHeight="1" x14ac:dyDescent="0.35">
      <c r="A108" s="86"/>
      <c r="B108" s="86"/>
      <c r="C108" s="241"/>
      <c r="D108" s="242"/>
      <c r="E108" s="264"/>
      <c r="F108" s="243"/>
      <c r="G108" s="243"/>
      <c r="H108" s="243"/>
      <c r="I108" s="243"/>
      <c r="J108" s="243"/>
      <c r="K108" s="243"/>
      <c r="L108" s="243"/>
      <c r="M108" s="152"/>
      <c r="N108" s="244"/>
      <c r="O108" s="152"/>
      <c r="P108" s="243"/>
      <c r="Q108" s="131"/>
      <c r="R108" s="131"/>
      <c r="S108" s="131"/>
      <c r="T108" s="236"/>
      <c r="U108" s="236"/>
      <c r="V108" s="236"/>
      <c r="W108" s="236"/>
      <c r="X108" s="236"/>
      <c r="Y108" s="236"/>
      <c r="Z108" s="236"/>
      <c r="AB108" s="86"/>
    </row>
    <row r="109" spans="1:28" s="123" customFormat="1" ht="13.2" customHeight="1" x14ac:dyDescent="0.35">
      <c r="A109" s="86"/>
      <c r="B109" s="86"/>
      <c r="C109" s="241"/>
      <c r="D109" s="242"/>
      <c r="E109" s="264"/>
      <c r="F109" s="243"/>
      <c r="G109" s="243"/>
      <c r="H109" s="243"/>
      <c r="I109" s="243"/>
      <c r="J109" s="243"/>
      <c r="K109" s="243"/>
      <c r="L109" s="243"/>
      <c r="M109" s="152"/>
      <c r="N109" s="244"/>
      <c r="O109" s="152"/>
      <c r="P109" s="243"/>
      <c r="Q109" s="131"/>
      <c r="R109" s="131"/>
      <c r="S109" s="131"/>
      <c r="T109" s="236"/>
      <c r="U109" s="236"/>
      <c r="V109" s="236"/>
      <c r="W109" s="236"/>
      <c r="X109" s="236"/>
      <c r="Y109" s="236"/>
      <c r="Z109" s="236"/>
      <c r="AB109" s="86"/>
    </row>
    <row r="110" spans="1:28" s="123" customFormat="1" ht="13.2" customHeight="1" x14ac:dyDescent="0.35">
      <c r="A110" s="86"/>
      <c r="B110" s="86"/>
      <c r="C110" s="241"/>
      <c r="D110" s="242"/>
      <c r="E110" s="264"/>
      <c r="F110" s="243"/>
      <c r="G110" s="243"/>
      <c r="H110" s="243"/>
      <c r="I110" s="243"/>
      <c r="J110" s="243"/>
      <c r="K110" s="243"/>
      <c r="L110" s="243"/>
      <c r="M110" s="152"/>
      <c r="N110" s="244"/>
      <c r="O110" s="152"/>
      <c r="P110" s="243"/>
      <c r="Q110" s="131"/>
      <c r="R110" s="131"/>
      <c r="S110" s="131"/>
      <c r="T110" s="236"/>
      <c r="U110" s="236"/>
      <c r="V110" s="236"/>
      <c r="W110" s="236"/>
      <c r="X110" s="236"/>
      <c r="Y110" s="236"/>
      <c r="Z110" s="236"/>
      <c r="AB110" s="86"/>
    </row>
    <row r="111" spans="1:28" s="123" customFormat="1" ht="13.2" customHeight="1" x14ac:dyDescent="0.35">
      <c r="A111" s="86"/>
      <c r="B111" s="86"/>
      <c r="C111" s="241"/>
      <c r="D111" s="242"/>
      <c r="E111" s="264"/>
      <c r="F111" s="243"/>
      <c r="G111" s="243"/>
      <c r="H111" s="243"/>
      <c r="I111" s="243"/>
      <c r="J111" s="243"/>
      <c r="K111" s="243"/>
      <c r="L111" s="243"/>
      <c r="M111" s="152"/>
      <c r="N111" s="244"/>
      <c r="O111" s="152"/>
      <c r="P111" s="243"/>
      <c r="Q111" s="131"/>
      <c r="R111" s="131"/>
      <c r="S111" s="131"/>
      <c r="T111" s="236"/>
      <c r="U111" s="236"/>
      <c r="V111" s="236"/>
      <c r="W111" s="236"/>
      <c r="X111" s="236"/>
      <c r="Y111" s="236"/>
      <c r="Z111" s="236"/>
      <c r="AB111" s="86"/>
    </row>
    <row r="112" spans="1:28" s="123" customFormat="1" ht="13.2" customHeight="1" x14ac:dyDescent="0.35">
      <c r="A112" s="86"/>
      <c r="B112" s="86"/>
      <c r="C112" s="241"/>
      <c r="D112" s="242"/>
      <c r="E112" s="264"/>
      <c r="F112" s="243"/>
      <c r="G112" s="243"/>
      <c r="H112" s="243"/>
      <c r="I112" s="243"/>
      <c r="J112" s="243"/>
      <c r="K112" s="243"/>
      <c r="L112" s="243"/>
      <c r="M112" s="152"/>
      <c r="N112" s="244"/>
      <c r="O112" s="152"/>
      <c r="P112" s="243"/>
      <c r="Q112" s="131"/>
      <c r="R112" s="131"/>
      <c r="S112" s="131"/>
      <c r="T112" s="236"/>
      <c r="U112" s="236"/>
      <c r="V112" s="236"/>
      <c r="W112" s="236"/>
      <c r="X112" s="236"/>
      <c r="Y112" s="236"/>
      <c r="Z112" s="236"/>
      <c r="AB112" s="86"/>
    </row>
    <row r="113" spans="1:28" s="123" customFormat="1" ht="13.2" customHeight="1" x14ac:dyDescent="0.35">
      <c r="A113" s="86"/>
      <c r="B113" s="86"/>
      <c r="C113" s="241"/>
      <c r="D113" s="242"/>
      <c r="E113" s="264"/>
      <c r="F113" s="243"/>
      <c r="G113" s="243"/>
      <c r="H113" s="243"/>
      <c r="I113" s="243"/>
      <c r="J113" s="243"/>
      <c r="K113" s="243"/>
      <c r="L113" s="243"/>
      <c r="M113" s="152"/>
      <c r="N113" s="244"/>
      <c r="O113" s="152"/>
      <c r="P113" s="243"/>
      <c r="Q113" s="131"/>
      <c r="R113" s="131"/>
      <c r="S113" s="131"/>
      <c r="T113" s="236"/>
      <c r="U113" s="236"/>
      <c r="V113" s="236"/>
      <c r="W113" s="236"/>
      <c r="X113" s="236"/>
      <c r="Y113" s="236"/>
      <c r="Z113" s="236"/>
      <c r="AB113" s="86"/>
    </row>
    <row r="114" spans="1:28" s="123" customFormat="1" ht="13.2" customHeight="1" x14ac:dyDescent="0.35">
      <c r="A114" s="86"/>
      <c r="B114" s="86"/>
      <c r="C114" s="241"/>
      <c r="D114" s="242"/>
      <c r="E114" s="264"/>
      <c r="F114" s="243"/>
      <c r="G114" s="243"/>
      <c r="H114" s="243"/>
      <c r="I114" s="243"/>
      <c r="J114" s="243"/>
      <c r="K114" s="243"/>
      <c r="L114" s="243"/>
      <c r="M114" s="152"/>
      <c r="N114" s="244"/>
      <c r="O114" s="152"/>
      <c r="P114" s="243"/>
      <c r="Q114" s="131"/>
      <c r="R114" s="131"/>
      <c r="S114" s="131"/>
      <c r="T114" s="236"/>
      <c r="U114" s="236"/>
      <c r="V114" s="236"/>
      <c r="W114" s="236"/>
      <c r="X114" s="236"/>
      <c r="Y114" s="236"/>
      <c r="Z114" s="236"/>
      <c r="AB114" s="86"/>
    </row>
    <row r="115" spans="1:28" s="123" customFormat="1" ht="13.2" customHeight="1" x14ac:dyDescent="0.35">
      <c r="A115" s="86"/>
      <c r="B115" s="86"/>
      <c r="C115" s="241"/>
      <c r="D115" s="242"/>
      <c r="E115" s="264"/>
      <c r="F115" s="243"/>
      <c r="G115" s="243"/>
      <c r="H115" s="243"/>
      <c r="I115" s="243"/>
      <c r="J115" s="243"/>
      <c r="K115" s="243"/>
      <c r="L115" s="243"/>
      <c r="M115" s="152"/>
      <c r="N115" s="244"/>
      <c r="O115" s="152"/>
      <c r="P115" s="243"/>
      <c r="Q115" s="131"/>
      <c r="R115" s="131"/>
      <c r="S115" s="131"/>
      <c r="T115" s="236"/>
      <c r="U115" s="236"/>
      <c r="V115" s="236"/>
      <c r="W115" s="236"/>
      <c r="X115" s="236"/>
      <c r="Y115" s="236"/>
      <c r="Z115" s="236"/>
      <c r="AB115" s="86"/>
    </row>
    <row r="116" spans="1:28" s="123" customFormat="1" ht="13.2" customHeight="1" x14ac:dyDescent="0.35">
      <c r="A116" s="86"/>
      <c r="B116" s="86"/>
      <c r="C116" s="241"/>
      <c r="D116" s="242"/>
      <c r="E116" s="264"/>
      <c r="F116" s="243"/>
      <c r="G116" s="243"/>
      <c r="H116" s="243"/>
      <c r="I116" s="243"/>
      <c r="J116" s="243"/>
      <c r="K116" s="243"/>
      <c r="L116" s="243"/>
      <c r="M116" s="152"/>
      <c r="N116" s="244"/>
      <c r="O116" s="152"/>
      <c r="P116" s="243"/>
      <c r="Q116" s="131"/>
      <c r="R116" s="131"/>
      <c r="S116" s="131"/>
      <c r="T116" s="236"/>
      <c r="U116" s="236"/>
      <c r="V116" s="236"/>
      <c r="W116" s="236"/>
      <c r="X116" s="236"/>
      <c r="Y116" s="236"/>
      <c r="Z116" s="236"/>
      <c r="AB116" s="86"/>
    </row>
    <row r="117" spans="1:28" s="123" customFormat="1" ht="13.2" customHeight="1" x14ac:dyDescent="0.35">
      <c r="A117" s="86"/>
      <c r="B117" s="86"/>
      <c r="C117" s="241"/>
      <c r="D117" s="242"/>
      <c r="E117" s="264"/>
      <c r="F117" s="243"/>
      <c r="G117" s="243"/>
      <c r="H117" s="243"/>
      <c r="I117" s="243"/>
      <c r="J117" s="243"/>
      <c r="K117" s="243"/>
      <c r="L117" s="243"/>
      <c r="M117" s="152"/>
      <c r="N117" s="244"/>
      <c r="O117" s="152"/>
      <c r="P117" s="243"/>
      <c r="Q117" s="131"/>
      <c r="R117" s="131"/>
      <c r="S117" s="131"/>
      <c r="T117" s="236"/>
      <c r="U117" s="236"/>
      <c r="V117" s="236"/>
      <c r="W117" s="236"/>
      <c r="X117" s="236"/>
      <c r="Y117" s="236"/>
      <c r="Z117" s="236"/>
      <c r="AB117" s="86"/>
    </row>
    <row r="118" spans="1:28" s="123" customFormat="1" ht="13.2" customHeight="1" x14ac:dyDescent="0.35">
      <c r="A118" s="86"/>
      <c r="B118" s="86"/>
      <c r="C118" s="241"/>
      <c r="D118" s="242"/>
      <c r="E118" s="264"/>
      <c r="F118" s="243"/>
      <c r="G118" s="243"/>
      <c r="H118" s="243"/>
      <c r="I118" s="243"/>
      <c r="J118" s="243"/>
      <c r="K118" s="243"/>
      <c r="L118" s="243"/>
      <c r="M118" s="152"/>
      <c r="N118" s="244"/>
      <c r="O118" s="152"/>
      <c r="P118" s="243"/>
      <c r="Q118" s="131"/>
      <c r="R118" s="131"/>
      <c r="S118" s="131"/>
      <c r="T118" s="236"/>
      <c r="U118" s="236"/>
      <c r="V118" s="236"/>
      <c r="W118" s="236"/>
      <c r="X118" s="236"/>
      <c r="Y118" s="236"/>
      <c r="Z118" s="236"/>
      <c r="AB118" s="86"/>
    </row>
    <row r="119" spans="1:28" s="123" customFormat="1" ht="13.2" customHeight="1" x14ac:dyDescent="0.35">
      <c r="A119" s="86"/>
      <c r="B119" s="86"/>
      <c r="C119" s="241"/>
      <c r="D119" s="242"/>
      <c r="E119" s="264"/>
      <c r="F119" s="243"/>
      <c r="G119" s="243"/>
      <c r="H119" s="243"/>
      <c r="I119" s="243"/>
      <c r="J119" s="243"/>
      <c r="K119" s="243"/>
      <c r="L119" s="243"/>
      <c r="M119" s="152"/>
      <c r="N119" s="244"/>
      <c r="O119" s="152"/>
      <c r="P119" s="243"/>
      <c r="Q119" s="131"/>
      <c r="R119" s="131"/>
      <c r="S119" s="131"/>
      <c r="T119" s="236"/>
      <c r="U119" s="236"/>
      <c r="V119" s="236"/>
      <c r="W119" s="236"/>
      <c r="X119" s="236"/>
      <c r="Y119" s="236"/>
      <c r="Z119" s="236"/>
      <c r="AB119" s="86"/>
    </row>
    <row r="120" spans="1:28" s="123" customFormat="1" ht="13.2" customHeight="1" x14ac:dyDescent="0.35">
      <c r="A120" s="86"/>
      <c r="B120" s="86"/>
      <c r="C120" s="241"/>
      <c r="D120" s="242"/>
      <c r="E120" s="264"/>
      <c r="F120" s="243"/>
      <c r="G120" s="243"/>
      <c r="H120" s="243"/>
      <c r="I120" s="243"/>
      <c r="J120" s="243"/>
      <c r="K120" s="243"/>
      <c r="L120" s="243"/>
      <c r="M120" s="152"/>
      <c r="N120" s="244"/>
      <c r="O120" s="152"/>
      <c r="P120" s="243"/>
      <c r="Q120" s="131"/>
      <c r="R120" s="131"/>
      <c r="S120" s="131"/>
      <c r="T120" s="236"/>
      <c r="U120" s="236"/>
      <c r="V120" s="236"/>
      <c r="W120" s="236"/>
      <c r="X120" s="236"/>
      <c r="Y120" s="236"/>
      <c r="Z120" s="236"/>
      <c r="AB120" s="86"/>
    </row>
    <row r="121" spans="1:28" s="123" customFormat="1" ht="13.2" customHeight="1" x14ac:dyDescent="0.35">
      <c r="A121" s="86"/>
      <c r="B121" s="86"/>
      <c r="C121" s="241"/>
      <c r="D121" s="242"/>
      <c r="E121" s="264"/>
      <c r="F121" s="243"/>
      <c r="G121" s="243"/>
      <c r="H121" s="243"/>
      <c r="I121" s="243"/>
      <c r="J121" s="243"/>
      <c r="K121" s="243"/>
      <c r="L121" s="243"/>
      <c r="M121" s="152"/>
      <c r="N121" s="244"/>
      <c r="O121" s="152"/>
      <c r="P121" s="243"/>
      <c r="Q121" s="131"/>
      <c r="R121" s="131"/>
      <c r="S121" s="131"/>
      <c r="T121" s="236"/>
      <c r="U121" s="236"/>
      <c r="V121" s="236"/>
      <c r="W121" s="236"/>
      <c r="X121" s="236"/>
      <c r="Y121" s="236"/>
      <c r="Z121" s="236"/>
      <c r="AB121" s="86"/>
    </row>
    <row r="122" spans="1:28" s="123" customFormat="1" ht="13.2" customHeight="1" x14ac:dyDescent="0.35">
      <c r="A122" s="86"/>
      <c r="B122" s="86"/>
      <c r="C122" s="241"/>
      <c r="D122" s="242"/>
      <c r="E122" s="264"/>
      <c r="F122" s="243"/>
      <c r="G122" s="243"/>
      <c r="H122" s="243"/>
      <c r="I122" s="243"/>
      <c r="J122" s="243"/>
      <c r="K122" s="243"/>
      <c r="L122" s="243"/>
      <c r="M122" s="152"/>
      <c r="N122" s="244"/>
      <c r="O122" s="152"/>
      <c r="P122" s="243"/>
      <c r="Q122" s="131"/>
      <c r="R122" s="131"/>
      <c r="S122" s="131"/>
      <c r="T122" s="236"/>
      <c r="U122" s="236"/>
      <c r="V122" s="236"/>
      <c r="W122" s="236"/>
      <c r="X122" s="236"/>
      <c r="Y122" s="236"/>
      <c r="Z122" s="236"/>
      <c r="AB122" s="86"/>
    </row>
    <row r="123" spans="1:28" s="123" customFormat="1" ht="13.2" customHeight="1" x14ac:dyDescent="0.35">
      <c r="A123" s="86"/>
      <c r="B123" s="86"/>
      <c r="C123" s="241"/>
      <c r="D123" s="242"/>
      <c r="E123" s="264"/>
      <c r="F123" s="243"/>
      <c r="G123" s="243"/>
      <c r="H123" s="243"/>
      <c r="I123" s="243"/>
      <c r="J123" s="243"/>
      <c r="K123" s="243"/>
      <c r="L123" s="243"/>
      <c r="M123" s="152"/>
      <c r="N123" s="244"/>
      <c r="O123" s="152"/>
      <c r="P123" s="243"/>
      <c r="Q123" s="131"/>
      <c r="R123" s="131"/>
      <c r="S123" s="131"/>
      <c r="T123" s="236"/>
      <c r="U123" s="236"/>
      <c r="V123" s="236"/>
      <c r="W123" s="236"/>
      <c r="X123" s="236"/>
      <c r="Y123" s="236"/>
      <c r="Z123" s="236"/>
      <c r="AB123" s="86"/>
    </row>
    <row r="124" spans="1:28" s="123" customFormat="1" ht="13.5" customHeight="1" x14ac:dyDescent="0.35">
      <c r="A124" s="86"/>
      <c r="B124" s="86"/>
      <c r="C124" s="241"/>
      <c r="D124" s="242"/>
      <c r="E124" s="264"/>
      <c r="F124" s="243"/>
      <c r="G124" s="243"/>
      <c r="H124" s="243"/>
      <c r="I124" s="243"/>
      <c r="J124" s="243"/>
      <c r="K124" s="243"/>
      <c r="L124" s="243"/>
      <c r="M124" s="152"/>
      <c r="N124" s="244"/>
      <c r="O124" s="152"/>
      <c r="P124" s="243"/>
      <c r="Q124" s="131"/>
      <c r="R124" s="131"/>
      <c r="S124" s="131"/>
      <c r="T124" s="236"/>
      <c r="U124" s="236"/>
      <c r="V124" s="236"/>
      <c r="W124" s="236"/>
      <c r="X124" s="236"/>
      <c r="Y124" s="236"/>
      <c r="Z124" s="236"/>
      <c r="AB124" s="86"/>
    </row>
    <row r="125" spans="1:28" s="123" customFormat="1" ht="13.5" customHeight="1" x14ac:dyDescent="0.35">
      <c r="A125" s="86"/>
      <c r="B125" s="86"/>
      <c r="C125" s="241"/>
      <c r="D125" s="242"/>
      <c r="E125" s="264"/>
      <c r="F125" s="243"/>
      <c r="G125" s="243"/>
      <c r="H125" s="243"/>
      <c r="I125" s="243"/>
      <c r="J125" s="243"/>
      <c r="K125" s="243"/>
      <c r="L125" s="243"/>
      <c r="M125" s="152"/>
      <c r="N125" s="244"/>
      <c r="O125" s="152"/>
      <c r="P125" s="243"/>
      <c r="Q125" s="131"/>
      <c r="R125" s="131"/>
      <c r="S125" s="131"/>
      <c r="T125" s="236"/>
      <c r="U125" s="236"/>
      <c r="V125" s="236"/>
      <c r="W125" s="236"/>
      <c r="X125" s="236"/>
      <c r="Y125" s="236"/>
      <c r="Z125" s="236"/>
      <c r="AB125" s="86"/>
    </row>
    <row r="126" spans="1:28" s="123" customFormat="1" ht="13.5" customHeight="1" x14ac:dyDescent="0.35">
      <c r="A126" s="86"/>
      <c r="B126" s="86"/>
      <c r="C126" s="241"/>
      <c r="D126" s="242"/>
      <c r="E126" s="264"/>
      <c r="F126" s="243"/>
      <c r="G126" s="243"/>
      <c r="H126" s="243"/>
      <c r="I126" s="243"/>
      <c r="J126" s="243"/>
      <c r="K126" s="243"/>
      <c r="L126" s="243"/>
      <c r="M126" s="152"/>
      <c r="N126" s="244"/>
      <c r="O126" s="152"/>
      <c r="P126" s="243"/>
      <c r="Q126" s="131"/>
      <c r="R126" s="131"/>
      <c r="S126" s="131"/>
      <c r="T126" s="236"/>
      <c r="U126" s="236"/>
      <c r="V126" s="236"/>
      <c r="W126" s="236"/>
      <c r="X126" s="236"/>
      <c r="Y126" s="236"/>
      <c r="Z126" s="236"/>
      <c r="AB126" s="86"/>
    </row>
    <row r="127" spans="1:28" s="123" customFormat="1" ht="13.5" customHeight="1" x14ac:dyDescent="0.35">
      <c r="A127" s="86"/>
      <c r="B127" s="86"/>
      <c r="C127" s="241"/>
      <c r="D127" s="242"/>
      <c r="E127" s="264"/>
      <c r="F127" s="243"/>
      <c r="G127" s="243"/>
      <c r="H127" s="243"/>
      <c r="I127" s="243"/>
      <c r="J127" s="243"/>
      <c r="K127" s="243"/>
      <c r="L127" s="243"/>
      <c r="M127" s="152"/>
      <c r="N127" s="244"/>
      <c r="O127" s="152"/>
      <c r="P127" s="243"/>
      <c r="Q127" s="131"/>
      <c r="R127" s="131"/>
      <c r="S127" s="131"/>
      <c r="T127" s="236"/>
      <c r="U127" s="236"/>
      <c r="V127" s="236"/>
      <c r="W127" s="236"/>
      <c r="X127" s="236"/>
      <c r="Y127" s="236"/>
      <c r="Z127" s="236"/>
      <c r="AB127" s="86"/>
    </row>
    <row r="128" spans="1:28" s="123" customFormat="1" ht="13.5" customHeight="1" x14ac:dyDescent="0.35">
      <c r="A128" s="86"/>
      <c r="B128" s="86"/>
      <c r="C128" s="241"/>
      <c r="D128" s="242"/>
      <c r="E128" s="264"/>
      <c r="F128" s="243"/>
      <c r="G128" s="243"/>
      <c r="H128" s="243"/>
      <c r="I128" s="243"/>
      <c r="J128" s="243"/>
      <c r="K128" s="243"/>
      <c r="L128" s="243"/>
      <c r="M128" s="152"/>
      <c r="N128" s="244"/>
      <c r="O128" s="152"/>
      <c r="P128" s="243"/>
      <c r="Q128" s="131"/>
      <c r="R128" s="131"/>
      <c r="S128" s="131"/>
      <c r="T128" s="236"/>
      <c r="U128" s="236"/>
      <c r="V128" s="236"/>
      <c r="W128" s="236"/>
      <c r="X128" s="236"/>
      <c r="Y128" s="236"/>
      <c r="Z128" s="236"/>
      <c r="AB128" s="86"/>
    </row>
    <row r="129" spans="1:28" s="123" customFormat="1" ht="13.5" customHeight="1" x14ac:dyDescent="0.35">
      <c r="A129" s="86"/>
      <c r="B129" s="86"/>
      <c r="C129" s="241"/>
      <c r="D129" s="242"/>
      <c r="E129" s="264"/>
      <c r="F129" s="243"/>
      <c r="G129" s="243"/>
      <c r="H129" s="243"/>
      <c r="I129" s="243"/>
      <c r="J129" s="243"/>
      <c r="K129" s="243"/>
      <c r="L129" s="243"/>
      <c r="M129" s="152"/>
      <c r="N129" s="244"/>
      <c r="O129" s="152"/>
      <c r="P129" s="243"/>
      <c r="Q129" s="131"/>
      <c r="R129" s="131"/>
      <c r="S129" s="131"/>
      <c r="T129" s="236"/>
      <c r="U129" s="236"/>
      <c r="V129" s="236"/>
      <c r="W129" s="236"/>
      <c r="X129" s="236"/>
      <c r="Y129" s="236"/>
      <c r="Z129" s="236"/>
      <c r="AB129" s="86"/>
    </row>
    <row r="130" spans="1:28" s="123" customFormat="1" ht="13.5" customHeight="1" x14ac:dyDescent="0.35">
      <c r="A130" s="86"/>
      <c r="B130" s="86"/>
      <c r="C130" s="241"/>
      <c r="D130" s="242"/>
      <c r="E130" s="264"/>
      <c r="F130" s="243"/>
      <c r="G130" s="243"/>
      <c r="H130" s="243"/>
      <c r="I130" s="243"/>
      <c r="J130" s="243"/>
      <c r="K130" s="243"/>
      <c r="L130" s="243"/>
      <c r="M130" s="152"/>
      <c r="N130" s="244"/>
      <c r="O130" s="152"/>
      <c r="P130" s="243"/>
      <c r="Q130" s="131"/>
      <c r="R130" s="131"/>
      <c r="S130" s="131"/>
      <c r="T130" s="236"/>
      <c r="U130" s="236"/>
      <c r="V130" s="236"/>
      <c r="W130" s="236"/>
      <c r="X130" s="236"/>
      <c r="Y130" s="236"/>
      <c r="Z130" s="236"/>
      <c r="AB130" s="86"/>
    </row>
    <row r="131" spans="1:28" s="123" customFormat="1" ht="13.5" customHeight="1" x14ac:dyDescent="0.35">
      <c r="A131" s="86"/>
      <c r="B131" s="86"/>
      <c r="C131" s="241"/>
      <c r="D131" s="242"/>
      <c r="E131" s="264"/>
      <c r="F131" s="243"/>
      <c r="G131" s="243"/>
      <c r="H131" s="243"/>
      <c r="I131" s="243"/>
      <c r="J131" s="243"/>
      <c r="K131" s="243"/>
      <c r="L131" s="243"/>
      <c r="M131" s="152"/>
      <c r="N131" s="244"/>
      <c r="O131" s="152"/>
      <c r="P131" s="243"/>
      <c r="Q131" s="131"/>
      <c r="R131" s="131"/>
      <c r="S131" s="131"/>
      <c r="T131" s="236"/>
      <c r="U131" s="236"/>
      <c r="V131" s="236"/>
      <c r="W131" s="236"/>
      <c r="X131" s="236"/>
      <c r="Y131" s="236"/>
      <c r="Z131" s="236"/>
      <c r="AB131" s="86"/>
    </row>
    <row r="132" spans="1:28" s="123" customFormat="1" ht="13.5" customHeight="1" x14ac:dyDescent="0.35">
      <c r="A132" s="86"/>
      <c r="B132" s="86"/>
      <c r="C132" s="241"/>
      <c r="D132" s="242"/>
      <c r="E132" s="264"/>
      <c r="F132" s="243"/>
      <c r="G132" s="243"/>
      <c r="H132" s="243"/>
      <c r="I132" s="243"/>
      <c r="J132" s="243"/>
      <c r="K132" s="243"/>
      <c r="L132" s="243"/>
      <c r="M132" s="152"/>
      <c r="N132" s="244"/>
      <c r="O132" s="152"/>
      <c r="P132" s="243"/>
      <c r="Q132" s="131"/>
      <c r="R132" s="131"/>
      <c r="S132" s="131"/>
      <c r="T132" s="236"/>
      <c r="U132" s="236"/>
      <c r="V132" s="236"/>
      <c r="W132" s="236"/>
      <c r="X132" s="236"/>
      <c r="Y132" s="236"/>
      <c r="Z132" s="236"/>
      <c r="AB132" s="86"/>
    </row>
    <row r="133" spans="1:28" s="123" customFormat="1" ht="13.5" customHeight="1" x14ac:dyDescent="0.35">
      <c r="A133" s="86"/>
      <c r="B133" s="86"/>
      <c r="C133" s="241"/>
      <c r="D133" s="242"/>
      <c r="E133" s="264"/>
      <c r="F133" s="243"/>
      <c r="G133" s="243"/>
      <c r="H133" s="243"/>
      <c r="I133" s="243"/>
      <c r="J133" s="243"/>
      <c r="K133" s="243"/>
      <c r="L133" s="243"/>
      <c r="M133" s="152"/>
      <c r="N133" s="244"/>
      <c r="O133" s="152"/>
      <c r="P133" s="243"/>
      <c r="Q133" s="131"/>
      <c r="R133" s="131"/>
      <c r="S133" s="131"/>
      <c r="T133" s="236"/>
      <c r="U133" s="236"/>
      <c r="V133" s="236"/>
      <c r="W133" s="236"/>
      <c r="X133" s="236"/>
      <c r="Y133" s="236"/>
      <c r="Z133" s="236"/>
      <c r="AB133" s="86"/>
    </row>
    <row r="134" spans="1:28" s="123" customFormat="1" ht="13.5" customHeight="1" x14ac:dyDescent="0.35">
      <c r="A134" s="86"/>
      <c r="B134" s="86"/>
      <c r="C134" s="241"/>
      <c r="D134" s="242"/>
      <c r="E134" s="264"/>
      <c r="F134" s="243"/>
      <c r="G134" s="243"/>
      <c r="H134" s="243"/>
      <c r="I134" s="243"/>
      <c r="J134" s="243"/>
      <c r="K134" s="243"/>
      <c r="L134" s="243"/>
      <c r="M134" s="152"/>
      <c r="N134" s="244"/>
      <c r="O134" s="152"/>
      <c r="P134" s="243"/>
      <c r="Q134" s="131"/>
      <c r="R134" s="131"/>
      <c r="S134" s="131"/>
      <c r="T134" s="236"/>
      <c r="U134" s="236"/>
      <c r="V134" s="236"/>
      <c r="W134" s="236"/>
      <c r="X134" s="236"/>
      <c r="Y134" s="236"/>
      <c r="Z134" s="236"/>
      <c r="AB134" s="86"/>
    </row>
    <row r="135" spans="1:28" s="123" customFormat="1" ht="13.5" customHeight="1" x14ac:dyDescent="0.35">
      <c r="A135" s="86"/>
      <c r="B135" s="86"/>
      <c r="C135" s="241"/>
      <c r="D135" s="242"/>
      <c r="E135" s="264"/>
      <c r="F135" s="243"/>
      <c r="G135" s="243"/>
      <c r="H135" s="243"/>
      <c r="I135" s="243"/>
      <c r="J135" s="243"/>
      <c r="K135" s="243"/>
      <c r="L135" s="243"/>
      <c r="M135" s="152"/>
      <c r="N135" s="244"/>
      <c r="O135" s="152"/>
      <c r="P135" s="243"/>
      <c r="Q135" s="131"/>
      <c r="R135" s="131"/>
      <c r="S135" s="131"/>
      <c r="T135" s="236"/>
      <c r="U135" s="236"/>
      <c r="V135" s="236"/>
      <c r="W135" s="236"/>
      <c r="X135" s="236"/>
      <c r="Y135" s="236"/>
      <c r="Z135" s="236"/>
      <c r="AB135" s="86"/>
    </row>
    <row r="136" spans="1:28" s="123" customFormat="1" ht="13.5" customHeight="1" x14ac:dyDescent="0.35">
      <c r="A136" s="86"/>
      <c r="B136" s="86"/>
      <c r="C136" s="241"/>
      <c r="D136" s="242"/>
      <c r="E136" s="264"/>
      <c r="F136" s="243"/>
      <c r="G136" s="243"/>
      <c r="H136" s="243"/>
      <c r="I136" s="243"/>
      <c r="J136" s="243"/>
      <c r="K136" s="243"/>
      <c r="L136" s="243"/>
      <c r="M136" s="152"/>
      <c r="N136" s="244"/>
      <c r="O136" s="152"/>
      <c r="P136" s="243"/>
      <c r="Q136" s="131"/>
      <c r="R136" s="131"/>
      <c r="S136" s="131"/>
      <c r="T136" s="236"/>
      <c r="U136" s="236"/>
      <c r="V136" s="236"/>
      <c r="W136" s="236"/>
      <c r="X136" s="236"/>
      <c r="Y136" s="236"/>
      <c r="Z136" s="236"/>
      <c r="AB136" s="86"/>
    </row>
    <row r="137" spans="1:28" s="123" customFormat="1" ht="13.5" customHeight="1" x14ac:dyDescent="0.35">
      <c r="A137" s="86"/>
      <c r="B137" s="86"/>
      <c r="C137" s="241"/>
      <c r="D137" s="242"/>
      <c r="E137" s="264"/>
      <c r="F137" s="243"/>
      <c r="G137" s="243"/>
      <c r="H137" s="243"/>
      <c r="I137" s="243"/>
      <c r="J137" s="243"/>
      <c r="K137" s="243"/>
      <c r="L137" s="243"/>
      <c r="M137" s="152"/>
      <c r="N137" s="244"/>
      <c r="O137" s="152"/>
      <c r="P137" s="243"/>
      <c r="Q137" s="131"/>
      <c r="R137" s="131"/>
      <c r="S137" s="131"/>
      <c r="T137" s="236"/>
      <c r="U137" s="236"/>
      <c r="V137" s="236"/>
      <c r="W137" s="236"/>
      <c r="X137" s="236"/>
      <c r="Y137" s="236"/>
      <c r="Z137" s="236"/>
      <c r="AB137" s="86"/>
    </row>
    <row r="138" spans="1:28" s="123" customFormat="1" ht="13.5" customHeight="1" x14ac:dyDescent="0.35">
      <c r="B138" s="86"/>
      <c r="D138" s="244"/>
      <c r="F138" s="86"/>
      <c r="H138" s="86"/>
      <c r="J138" s="86"/>
      <c r="K138" s="86"/>
      <c r="L138" s="86"/>
      <c r="M138" s="277"/>
      <c r="N138" s="277"/>
      <c r="O138" s="277"/>
      <c r="P138" s="277"/>
      <c r="Q138" s="277"/>
      <c r="R138" s="277"/>
      <c r="S138" s="277"/>
      <c r="T138" s="236"/>
      <c r="U138" s="236"/>
      <c r="V138" s="236"/>
      <c r="W138" s="236"/>
      <c r="X138" s="236"/>
      <c r="Y138" s="236"/>
      <c r="Z138" s="253"/>
      <c r="AB138" s="86"/>
    </row>
    <row r="139" spans="1:28" s="123" customFormat="1" ht="13.5" customHeight="1" x14ac:dyDescent="0.35">
      <c r="B139" s="86"/>
      <c r="J139" s="86"/>
      <c r="K139" s="86"/>
      <c r="L139" s="86"/>
      <c r="M139" s="277"/>
      <c r="N139" s="277"/>
      <c r="O139" s="277"/>
      <c r="P139" s="277"/>
      <c r="Q139" s="277"/>
      <c r="R139" s="277"/>
      <c r="S139" s="277"/>
      <c r="T139" s="236"/>
      <c r="U139" s="236"/>
      <c r="V139" s="236"/>
      <c r="W139" s="236"/>
      <c r="X139" s="236"/>
      <c r="Y139" s="236"/>
      <c r="Z139" s="253"/>
      <c r="AB139" s="86"/>
    </row>
    <row r="140" spans="1:28" s="123" customFormat="1" ht="13.5" customHeight="1" x14ac:dyDescent="0.35">
      <c r="B140" s="86"/>
      <c r="J140" s="86"/>
      <c r="K140" s="86"/>
      <c r="L140" s="86"/>
      <c r="M140" s="277"/>
      <c r="N140" s="277"/>
      <c r="O140" s="277"/>
      <c r="P140" s="277"/>
      <c r="Q140" s="277"/>
      <c r="R140" s="277"/>
      <c r="S140" s="277"/>
      <c r="T140" s="236"/>
      <c r="U140" s="236"/>
      <c r="V140" s="236"/>
      <c r="W140" s="236"/>
      <c r="X140" s="236"/>
      <c r="Y140" s="236"/>
      <c r="Z140" s="253"/>
      <c r="AB140" s="86"/>
    </row>
    <row r="141" spans="1:28" s="123" customFormat="1" ht="13.5" customHeight="1" x14ac:dyDescent="0.35">
      <c r="B141" s="86"/>
      <c r="J141" s="86"/>
      <c r="K141" s="86"/>
      <c r="L141" s="86"/>
      <c r="M141" s="277"/>
      <c r="N141" s="277"/>
      <c r="O141" s="277"/>
      <c r="P141" s="277"/>
      <c r="Q141" s="277"/>
      <c r="R141" s="277"/>
      <c r="S141" s="277"/>
      <c r="T141" s="236"/>
      <c r="U141" s="236"/>
      <c r="V141" s="236"/>
      <c r="W141" s="236"/>
      <c r="X141" s="236"/>
      <c r="Y141" s="236"/>
      <c r="Z141" s="253"/>
      <c r="AB141" s="86"/>
    </row>
    <row r="142" spans="1:28" s="206" customFormat="1" x14ac:dyDescent="0.25">
      <c r="B142" s="207"/>
      <c r="D142" s="60"/>
      <c r="G142" s="207"/>
      <c r="I142" s="207"/>
      <c r="J142" s="207"/>
      <c r="K142" s="38"/>
      <c r="L142" s="38"/>
      <c r="M142" s="38"/>
      <c r="N142" s="38"/>
      <c r="Z142" s="207"/>
      <c r="AA142" s="207"/>
    </row>
    <row r="143" spans="1:28" s="206" customFormat="1" x14ac:dyDescent="0.25">
      <c r="B143" s="207"/>
      <c r="D143" s="60"/>
      <c r="G143" s="207"/>
      <c r="I143" s="207"/>
      <c r="J143" s="207"/>
      <c r="K143" s="38"/>
      <c r="L143" s="38"/>
      <c r="M143" s="38"/>
      <c r="N143" s="38"/>
      <c r="Z143" s="207"/>
      <c r="AA143" s="207"/>
    </row>
    <row r="144" spans="1:28" s="206" customFormat="1" x14ac:dyDescent="0.25">
      <c r="B144" s="207"/>
      <c r="D144" s="60"/>
      <c r="G144" s="207"/>
      <c r="I144" s="207"/>
      <c r="J144" s="207"/>
      <c r="K144" s="38"/>
      <c r="L144" s="38"/>
      <c r="M144" s="38"/>
      <c r="N144" s="38"/>
      <c r="Z144" s="207"/>
      <c r="AA144" s="207"/>
    </row>
    <row r="145" spans="29:29" x14ac:dyDescent="0.25">
      <c r="AC145" s="206"/>
    </row>
    <row r="146" spans="29:29" x14ac:dyDescent="0.25">
      <c r="AC146" s="206"/>
    </row>
    <row r="147" spans="29:29" x14ac:dyDescent="0.25">
      <c r="AC147" s="206"/>
    </row>
    <row r="148" spans="29:29" x14ac:dyDescent="0.25">
      <c r="AC148" s="206"/>
    </row>
  </sheetData>
  <sortState ref="A16:AX45">
    <sortCondition ref="Q16:Q45"/>
    <sortCondition ref="R16:R45"/>
  </sortState>
  <mergeCells count="6"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S148"/>
  <sheetViews>
    <sheetView view="pageBreakPreview" zoomScaleSheetLayoutView="100" workbookViewId="0">
      <selection sqref="A1:O1"/>
    </sheetView>
  </sheetViews>
  <sheetFormatPr defaultColWidth="9.109375" defaultRowHeight="13.2" outlineLevelRow="1" outlineLevelCol="1" x14ac:dyDescent="0.25"/>
  <cols>
    <col min="1" max="1" width="4.77734375" style="206" customWidth="1"/>
    <col min="2" max="2" width="9.109375" style="207" customWidth="1"/>
    <col min="3" max="3" width="27.6640625" style="206" customWidth="1"/>
    <col min="4" max="4" width="10.109375" style="60" customWidth="1"/>
    <col min="5" max="5" width="6.88671875" style="206" customWidth="1"/>
    <col min="6" max="6" width="7.88671875" style="206" customWidth="1"/>
    <col min="7" max="7" width="6.44140625" style="207" customWidth="1"/>
    <col min="8" max="8" width="6.5546875" style="206" customWidth="1"/>
    <col min="9" max="9" width="5.88671875" style="207" customWidth="1"/>
    <col min="10" max="10" width="6.44140625" style="207" customWidth="1" outlineLevel="1"/>
    <col min="11" max="11" width="6.109375" style="38" customWidth="1" outlineLevel="1"/>
    <col min="12" max="12" width="7.109375" style="38" customWidth="1" outlineLevel="1"/>
    <col min="13" max="14" width="5.33203125" style="38" customWidth="1"/>
    <col min="15" max="15" width="8.44140625" style="206" bestFit="1" customWidth="1" outlineLevel="1"/>
    <col min="16" max="16" width="7.33203125" style="206" bestFit="1" customWidth="1" outlineLevel="1"/>
    <col min="17" max="17" width="6.6640625" style="206" bestFit="1" customWidth="1" outlineLevel="1"/>
    <col min="18" max="18" width="3.33203125" style="206" bestFit="1" customWidth="1" outlineLevel="1"/>
    <col min="19" max="19" width="5.44140625" style="206" bestFit="1" customWidth="1" outlineLevel="1"/>
    <col min="20" max="20" width="6.109375" style="206" customWidth="1" outlineLevel="1"/>
    <col min="21" max="21" width="6" style="206" customWidth="1" outlineLevel="1"/>
    <col min="22" max="22" width="7.44140625" style="206" customWidth="1" outlineLevel="1"/>
    <col min="23" max="24" width="5.109375" style="206" customWidth="1" outlineLevel="1"/>
    <col min="25" max="25" width="6.33203125" style="206" bestFit="1" customWidth="1"/>
    <col min="26" max="26" width="5.44140625" style="207" bestFit="1" customWidth="1"/>
    <col min="27" max="27" width="6.33203125" style="207" customWidth="1"/>
    <col min="28" max="28" width="5.44140625" style="206" bestFit="1" customWidth="1"/>
    <col min="29" max="29" width="6.5546875" style="207" bestFit="1" customWidth="1"/>
    <col min="30" max="30" width="6.5546875" style="206" bestFit="1" customWidth="1"/>
    <col min="31" max="31" width="4.6640625" style="206" bestFit="1" customWidth="1"/>
    <col min="32" max="32" width="4.88671875" style="206" bestFit="1" customWidth="1"/>
    <col min="33" max="33" width="5.109375" style="206" bestFit="1" customWidth="1"/>
    <col min="34" max="36" width="3.109375" style="206" bestFit="1" customWidth="1"/>
    <col min="37" max="16384" width="9.109375" style="206"/>
  </cols>
  <sheetData>
    <row r="1" spans="1:34" ht="13.2" customHeight="1" x14ac:dyDescent="0.25">
      <c r="A1" s="434" t="str">
        <f>Расп!$A$21</f>
        <v>МИНИСТЕРСТВО СПОРТА РОССИЙСКОЙ ФЕДЕРАЦИИ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5"/>
      <c r="P1" s="39"/>
      <c r="Q1" s="60" t="s">
        <v>29</v>
      </c>
      <c r="R1" s="208">
        <v>0</v>
      </c>
      <c r="S1" s="208"/>
      <c r="T1" s="208">
        <v>1600</v>
      </c>
      <c r="U1" s="208">
        <v>2000</v>
      </c>
      <c r="V1" s="208">
        <v>2700</v>
      </c>
      <c r="W1" s="208">
        <v>3300</v>
      </c>
      <c r="X1" s="208">
        <v>3900</v>
      </c>
      <c r="Y1" s="209">
        <v>4500</v>
      </c>
      <c r="Z1" s="89">
        <v>5250</v>
      </c>
      <c r="AA1" s="89">
        <v>6150</v>
      </c>
      <c r="AB1" s="89"/>
      <c r="AC1" s="210" t="s">
        <v>89</v>
      </c>
      <c r="AD1" s="211" t="s">
        <v>90</v>
      </c>
      <c r="AE1" s="210">
        <v>4000</v>
      </c>
      <c r="AF1" s="89"/>
      <c r="AG1" s="89"/>
    </row>
    <row r="2" spans="1:34" ht="13.2" customHeight="1" x14ac:dyDescent="0.25">
      <c r="A2" s="434" t="str">
        <f>Расп!$A$22</f>
        <v>ВСЕРОССИЙСКАЯ ФЕДЕРАЦИЯ ЛЕГКОЙ АТЛЕТИКИ</v>
      </c>
      <c r="B2" s="434"/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  <c r="N2" s="434"/>
      <c r="O2" s="435"/>
      <c r="P2" s="39"/>
      <c r="Q2" s="60" t="s">
        <v>0</v>
      </c>
      <c r="R2" s="212" t="s">
        <v>66</v>
      </c>
      <c r="S2" s="89" t="s">
        <v>73</v>
      </c>
      <c r="T2" s="89" t="s">
        <v>74</v>
      </c>
      <c r="U2" s="89" t="s">
        <v>75</v>
      </c>
      <c r="V2" s="213">
        <v>3</v>
      </c>
      <c r="W2" s="208">
        <v>2</v>
      </c>
      <c r="X2" s="208">
        <v>1</v>
      </c>
      <c r="Y2" s="209" t="s">
        <v>62</v>
      </c>
      <c r="Z2" s="89" t="s">
        <v>61</v>
      </c>
      <c r="AA2" s="89" t="s">
        <v>63</v>
      </c>
      <c r="AB2" s="89"/>
      <c r="AC2" s="206"/>
      <c r="AF2" s="89"/>
      <c r="AG2" s="89"/>
    </row>
    <row r="3" spans="1:34" ht="13.2" customHeight="1" x14ac:dyDescent="0.25">
      <c r="A3" s="432" t="str">
        <f>Расп!$A$25</f>
        <v>Командный чемпионат России</v>
      </c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39"/>
      <c r="Q3" s="60"/>
      <c r="R3" s="89"/>
      <c r="S3" s="89"/>
      <c r="T3" s="89"/>
      <c r="U3" s="89"/>
      <c r="W3" s="89"/>
      <c r="X3" s="89"/>
      <c r="Y3" s="214" t="s">
        <v>83</v>
      </c>
      <c r="Z3" s="89"/>
      <c r="AA3" s="89"/>
      <c r="AB3" s="89"/>
      <c r="AC3" s="89"/>
      <c r="AD3" s="89"/>
      <c r="AE3" s="89"/>
      <c r="AF3" s="89"/>
      <c r="AG3" s="89"/>
    </row>
    <row r="4" spans="1:34" ht="13.2" customHeight="1" x14ac:dyDescent="0.25">
      <c r="A4" s="432" t="str">
        <f>Расп!$A$27</f>
        <v>по многоборью</v>
      </c>
      <c r="B4" s="432"/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3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34" ht="13.2" customHeight="1" x14ac:dyDescent="0.3">
      <c r="A5" s="433" t="s">
        <v>118</v>
      </c>
      <c r="B5" s="433"/>
      <c r="C5" s="433"/>
      <c r="D5" s="433"/>
      <c r="E5" s="433"/>
      <c r="F5" s="433"/>
      <c r="G5" s="433"/>
      <c r="H5" s="433"/>
      <c r="I5" s="433"/>
      <c r="J5" s="433"/>
      <c r="K5" s="433"/>
      <c r="L5" s="433"/>
      <c r="M5" s="433"/>
      <c r="N5" s="433"/>
      <c r="O5" s="433"/>
      <c r="P5" s="216"/>
      <c r="Q5" s="60" t="s">
        <v>60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206">
        <v>17</v>
      </c>
    </row>
    <row r="6" spans="1:34" ht="13.2" customHeight="1" x14ac:dyDescent="0.3">
      <c r="A6" s="433" t="s">
        <v>11</v>
      </c>
      <c r="B6" s="433"/>
      <c r="C6" s="433"/>
      <c r="D6" s="433"/>
      <c r="E6" s="433"/>
      <c r="F6" s="433"/>
      <c r="G6" s="433"/>
      <c r="H6" s="433"/>
      <c r="I6" s="433"/>
      <c r="J6" s="433"/>
      <c r="K6" s="433"/>
      <c r="L6" s="433"/>
      <c r="M6" s="433"/>
      <c r="N6" s="433"/>
      <c r="O6" s="433"/>
      <c r="P6" s="216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206">
        <v>0</v>
      </c>
    </row>
    <row r="7" spans="1:34" ht="13.2" hidden="1" customHeight="1" x14ac:dyDescent="0.25">
      <c r="C7" s="207"/>
      <c r="E7" s="36"/>
      <c r="F7" s="89"/>
      <c r="G7" s="181"/>
      <c r="H7" s="89"/>
      <c r="I7" s="181"/>
      <c r="J7" s="89"/>
      <c r="K7" s="207"/>
      <c r="L7" s="207"/>
      <c r="M7" s="207"/>
      <c r="N7" s="207"/>
      <c r="O7" s="207"/>
      <c r="P7" s="216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34" ht="13.2" customHeight="1" x14ac:dyDescent="0.3">
      <c r="A8" s="206" t="str">
        <f>Расп!C13</f>
        <v>Юниорки до 23 лет</v>
      </c>
      <c r="B8" s="206"/>
      <c r="C8" s="44"/>
      <c r="E8" s="36"/>
      <c r="F8" s="89"/>
      <c r="G8" s="181"/>
      <c r="H8" s="89"/>
      <c r="I8" s="181"/>
      <c r="J8" s="282" t="str">
        <f>Расп!A1</f>
        <v>04.09.2019 г.</v>
      </c>
      <c r="K8" s="284" t="s">
        <v>122</v>
      </c>
      <c r="L8" s="207"/>
      <c r="M8" s="207"/>
      <c r="N8" s="282" t="str">
        <f>Расп!A6</f>
        <v>19.05.2019 г.</v>
      </c>
      <c r="O8" s="283" t="s">
        <v>122</v>
      </c>
      <c r="P8" s="217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62</v>
      </c>
      <c r="V8" s="88" t="s">
        <v>61</v>
      </c>
      <c r="W8" s="88" t="s">
        <v>63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34" ht="13.2" customHeight="1" x14ac:dyDescent="0.25">
      <c r="A9" s="89" t="str">
        <f>Расп!$A$14</f>
        <v>РМ</v>
      </c>
      <c r="B9" s="207">
        <f>Расп!C14</f>
        <v>7001</v>
      </c>
      <c r="C9" s="215"/>
      <c r="F9" s="89"/>
      <c r="G9" s="181"/>
      <c r="H9" s="89"/>
      <c r="I9" s="181"/>
      <c r="J9" s="192" t="str">
        <f>Расп!A2</f>
        <v>бег с барьерами 100 м</v>
      </c>
      <c r="K9" s="190">
        <f>Расп!B2</f>
        <v>0.40972222222222227</v>
      </c>
      <c r="L9" s="281"/>
      <c r="M9" s="281"/>
      <c r="N9" s="192" t="str">
        <f>Расп!A7</f>
        <v>прыжок в длину</v>
      </c>
      <c r="O9" s="190">
        <f>Расп!B7</f>
        <v>0.41666666666666669</v>
      </c>
      <c r="P9" s="217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34" ht="13.2" customHeight="1" x14ac:dyDescent="0.25">
      <c r="A10" s="89" t="str">
        <f>Расп!$A$15</f>
        <v>РЕ</v>
      </c>
      <c r="B10" s="207">
        <f>Расп!C15</f>
        <v>7001</v>
      </c>
      <c r="F10" s="89"/>
      <c r="G10" s="181"/>
      <c r="H10" s="205"/>
      <c r="I10" s="206"/>
      <c r="J10" s="192" t="str">
        <f>Расп!A3</f>
        <v>прыжок в высоту</v>
      </c>
      <c r="K10" s="190">
        <f>Расп!B3</f>
        <v>0.44791666666666669</v>
      </c>
      <c r="L10" s="198"/>
      <c r="M10" s="198"/>
      <c r="N10" s="192" t="str">
        <f>Расп!A8</f>
        <v>метание копья (600 г)</v>
      </c>
      <c r="O10" s="190">
        <f>Расп!B8</f>
        <v>0.48958333333333331</v>
      </c>
      <c r="P10" s="217" t="s">
        <v>24</v>
      </c>
      <c r="Q10" s="168"/>
      <c r="R10" s="218"/>
      <c r="S10" s="168"/>
      <c r="T10" s="168"/>
      <c r="U10" s="168"/>
      <c r="V10" s="168"/>
      <c r="W10" s="219"/>
      <c r="Z10" s="206"/>
      <c r="AB10" s="60"/>
      <c r="AC10" s="89"/>
      <c r="AD10" s="89"/>
      <c r="AE10" s="89"/>
      <c r="AF10" s="89"/>
      <c r="AG10" s="89"/>
    </row>
    <row r="11" spans="1:34" ht="13.2" customHeight="1" x14ac:dyDescent="0.3">
      <c r="A11" s="89" t="str">
        <f>Расп!$A$16</f>
        <v>РР</v>
      </c>
      <c r="B11" s="207">
        <f>Расп!C16</f>
        <v>6765</v>
      </c>
      <c r="C11" s="44"/>
      <c r="G11" s="205"/>
      <c r="I11" s="89"/>
      <c r="J11" s="192" t="str">
        <f>Расп!A4</f>
        <v>толкание ядра</v>
      </c>
      <c r="K11" s="190">
        <f>Расп!B4</f>
        <v>0.70833333333333337</v>
      </c>
      <c r="L11" s="198"/>
      <c r="M11" s="198"/>
      <c r="N11" s="192" t="str">
        <f>Расп!A9</f>
        <v>бег 800 м</v>
      </c>
      <c r="O11" s="190">
        <f>Расп!B9</f>
        <v>0.75694444444444453</v>
      </c>
      <c r="P11" s="217"/>
      <c r="Q11" s="220" t="s">
        <v>84</v>
      </c>
      <c r="R11" s="221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34" ht="13.2" customHeight="1" x14ac:dyDescent="0.25">
      <c r="A12" s="206" t="str">
        <f>Расп!$A$26</f>
        <v>г.Сочи, Адлерский район, стадион "Юность"</v>
      </c>
      <c r="J12" s="192" t="str">
        <f>Расп!A5</f>
        <v>бег 200 м</v>
      </c>
      <c r="K12" s="190">
        <f>Расп!B5</f>
        <v>0.75347222222222221</v>
      </c>
      <c r="L12" s="198"/>
      <c r="M12" s="198"/>
      <c r="N12" s="198"/>
      <c r="O12" s="198"/>
      <c r="P12" s="222"/>
      <c r="Q12" s="168"/>
      <c r="R12" s="168"/>
      <c r="S12" s="168"/>
      <c r="T12" s="168"/>
      <c r="U12" s="168"/>
      <c r="V12" s="168"/>
      <c r="W12" s="219"/>
      <c r="Z12" s="206"/>
      <c r="AA12" s="88"/>
      <c r="AB12" s="86"/>
      <c r="AC12" s="206"/>
    </row>
    <row r="13" spans="1:34" s="98" customFormat="1" ht="30.6" customHeight="1" x14ac:dyDescent="0.25">
      <c r="A13" s="193" t="s">
        <v>60</v>
      </c>
      <c r="B13" s="193" t="s">
        <v>113</v>
      </c>
      <c r="C13" s="193" t="s">
        <v>126</v>
      </c>
      <c r="D13" s="193" t="s">
        <v>129</v>
      </c>
      <c r="E13" s="93"/>
      <c r="F13" s="193" t="s">
        <v>104</v>
      </c>
      <c r="G13" s="193" t="s">
        <v>105</v>
      </c>
      <c r="H13" s="193" t="s">
        <v>106</v>
      </c>
      <c r="I13" s="193" t="s">
        <v>123</v>
      </c>
      <c r="J13" s="193" t="s">
        <v>108</v>
      </c>
      <c r="K13" s="193" t="s">
        <v>109</v>
      </c>
      <c r="L13" s="193" t="s">
        <v>124</v>
      </c>
      <c r="M13" s="200" t="s">
        <v>29</v>
      </c>
      <c r="N13" s="200" t="s">
        <v>0</v>
      </c>
      <c r="O13" s="287" t="s">
        <v>120</v>
      </c>
      <c r="P13" s="223" t="s">
        <v>19</v>
      </c>
      <c r="Q13" s="96" t="s">
        <v>91</v>
      </c>
      <c r="R13" s="96" t="s">
        <v>92</v>
      </c>
      <c r="S13" s="96" t="s">
        <v>93</v>
      </c>
      <c r="T13" s="97" t="s">
        <v>76</v>
      </c>
      <c r="U13" s="97" t="s">
        <v>16</v>
      </c>
      <c r="V13" s="97" t="s">
        <v>27</v>
      </c>
      <c r="W13" s="97">
        <v>200</v>
      </c>
      <c r="X13" s="97" t="s">
        <v>26</v>
      </c>
      <c r="Y13" s="224" t="s">
        <v>17</v>
      </c>
      <c r="Z13" s="224">
        <v>800</v>
      </c>
      <c r="AC13" s="225" t="s">
        <v>87</v>
      </c>
      <c r="AD13" s="225" t="s">
        <v>88</v>
      </c>
    </row>
    <row r="14" spans="1:34" s="205" customFormat="1" ht="13.2" hidden="1" customHeight="1" x14ac:dyDescent="0.25">
      <c r="D14" s="187"/>
      <c r="M14" s="49"/>
      <c r="N14" s="49"/>
      <c r="O14" s="49"/>
      <c r="P14" s="159"/>
      <c r="Q14" s="49"/>
      <c r="R14" s="49"/>
      <c r="S14" s="49"/>
      <c r="T14" s="169"/>
      <c r="U14" s="169"/>
      <c r="V14" s="169"/>
      <c r="W14" s="169"/>
      <c r="X14" s="169"/>
      <c r="Y14" s="169"/>
      <c r="Z14" s="226"/>
      <c r="AC14" s="227"/>
      <c r="AD14" s="131"/>
    </row>
    <row r="15" spans="1:34" s="205" customFormat="1" ht="13.2" customHeight="1" thickBot="1" x14ac:dyDescent="0.3">
      <c r="A15" s="228"/>
      <c r="B15" s="228"/>
      <c r="C15" s="228"/>
      <c r="D15" s="229"/>
      <c r="E15" s="228"/>
      <c r="F15" s="228"/>
      <c r="G15" s="228"/>
      <c r="H15" s="228"/>
      <c r="I15" s="228"/>
      <c r="J15" s="228"/>
      <c r="K15" s="228"/>
      <c r="L15" s="228"/>
      <c r="M15" s="230"/>
      <c r="N15" s="230"/>
      <c r="O15" s="230"/>
      <c r="P15" s="159"/>
      <c r="Q15" s="49"/>
      <c r="R15" s="49"/>
      <c r="S15" s="49"/>
      <c r="T15" s="169"/>
      <c r="U15" s="169"/>
      <c r="V15" s="169"/>
      <c r="W15" s="169"/>
      <c r="X15" s="169"/>
      <c r="Y15" s="169"/>
      <c r="Z15" s="226"/>
      <c r="AC15" s="227"/>
      <c r="AD15" s="131"/>
    </row>
    <row r="16" spans="1:34" s="123" customFormat="1" ht="13.2" customHeight="1" thickTop="1" x14ac:dyDescent="0.35">
      <c r="A16" s="86" t="e">
        <f>RANK(M16,$M$16:$M$50,0)</f>
        <v>#N/A</v>
      </c>
      <c r="B16" s="86">
        <v>23</v>
      </c>
      <c r="C16" s="123" t="str">
        <f>VLOOKUP(B16,Уч!$A$2:$L$16,2,FALSE)</f>
        <v>Пириева Марина</v>
      </c>
      <c r="D16" s="231" t="str">
        <f>VLOOKUP(B16,Уч!$A$2:$L$16,3,FALSE)</f>
        <v>16.07.1998</v>
      </c>
      <c r="E16" s="285" t="s">
        <v>18</v>
      </c>
      <c r="F16" s="233">
        <f>VLOOKUP($B16,'110 сб '!$C$17:$I$87,5,FALSE)</f>
        <v>14.67</v>
      </c>
      <c r="G16" s="233">
        <f>VLOOKUP($B16,высота!$C$17:$AF$42,29,FALSE)</f>
        <v>1.71</v>
      </c>
      <c r="H16" s="233">
        <f>VLOOKUP($B16,ядро!$C$17:$K$43,8,FALSE)</f>
        <v>0</v>
      </c>
      <c r="I16" s="233" t="e">
        <f>VLOOKUP($B16,'2_р'!$C$17:$I$68,5,FALSE)</f>
        <v>#N/A</v>
      </c>
      <c r="J16" s="233" t="e">
        <f>VLOOKUP($B16,Дл_р!$C$17:$O$43,11,FALSE)</f>
        <v>#N/A</v>
      </c>
      <c r="K16" s="233" t="e">
        <f>VLOOKUP($B16,К_р!$C$18:$K$31,8,FALSE)</f>
        <v>#N/A</v>
      </c>
      <c r="L16" s="234" t="e">
        <f>VLOOKUP($B16,'8_р'!$C$17:$H$77,5,FALSE)</f>
        <v>#N/A</v>
      </c>
      <c r="M16" s="152" t="e">
        <f>SUM(F18:L18)</f>
        <v>#N/A</v>
      </c>
      <c r="N16" s="86" t="e">
        <f>LOOKUP(M16,R$1:AA$1,R$2:AA$2)</f>
        <v>#N/A</v>
      </c>
      <c r="O16" s="86" t="e">
        <f>AC16+AD16+5</f>
        <v>#N/A</v>
      </c>
      <c r="P16" s="86">
        <f>B16</f>
        <v>23</v>
      </c>
      <c r="Q16" s="131" t="e">
        <f>$A16</f>
        <v>#N/A</v>
      </c>
      <c r="R16" s="131">
        <v>1</v>
      </c>
      <c r="S16" s="131" t="e">
        <f>$A16</f>
        <v>#N/A</v>
      </c>
      <c r="T16" s="236"/>
      <c r="U16" s="236"/>
      <c r="V16" s="236"/>
      <c r="W16" s="236"/>
      <c r="X16" s="236"/>
      <c r="Y16" s="236"/>
      <c r="Z16" s="236"/>
      <c r="AB16" s="86"/>
      <c r="AC16" s="131" t="e">
        <f>IF(AND(Q16&gt;16,M16&gt;=4600),"1",LOOKUP(Q16,Q$5:AH$5,Q$6:AH$6))</f>
        <v>#N/A</v>
      </c>
      <c r="AD16" s="131" t="e">
        <f>LOOKUP(N16,R$8:W$8,R$9:W$9)</f>
        <v>#N/A</v>
      </c>
    </row>
    <row r="17" spans="1:30" s="123" customFormat="1" ht="13.2" customHeight="1" x14ac:dyDescent="0.35">
      <c r="A17" s="86"/>
      <c r="B17" s="86"/>
      <c r="C17" s="123" t="str">
        <f>VLOOKUP(B16,Уч!$A$2:$L$16,5,FALSE)</f>
        <v xml:space="preserve">ЮФО (К)  </v>
      </c>
      <c r="D17" s="231" t="str">
        <f>VLOOKUP(B16,Уч!$A$2:$L$16,4,FALSE)</f>
        <v>КМС</v>
      </c>
      <c r="E17" s="285" t="s">
        <v>25</v>
      </c>
      <c r="F17" s="238">
        <f>VLOOKUP($B16,'110 сб '!$C$17:$I$87,6,FALSE)</f>
        <v>0</v>
      </c>
      <c r="G17" s="239"/>
      <c r="H17" s="239"/>
      <c r="I17" s="238" t="e">
        <f>VLOOKUP($B16,'2_р'!$C$17:$I$68,6,FALSE)</f>
        <v>#N/A</v>
      </c>
      <c r="J17" s="238" t="e">
        <f>VLOOKUP($B16,Дл_р!$C$17:$O$43,12,FALSE)</f>
        <v>#N/A</v>
      </c>
      <c r="K17" s="239"/>
      <c r="L17" s="240"/>
      <c r="M17" s="152"/>
      <c r="N17" s="86"/>
      <c r="O17" s="86" t="e">
        <f>CONCATENATE(AC16,"+",AD16,"+",5)</f>
        <v>#N/A</v>
      </c>
      <c r="P17" s="86">
        <f>B16</f>
        <v>23</v>
      </c>
      <c r="Q17" s="131" t="e">
        <f>$A16</f>
        <v>#N/A</v>
      </c>
      <c r="R17" s="131">
        <v>2</v>
      </c>
      <c r="S17" s="131" t="e">
        <f>$A16</f>
        <v>#N/A</v>
      </c>
      <c r="T17" s="236"/>
      <c r="U17" s="236"/>
      <c r="V17" s="236"/>
      <c r="W17" s="236"/>
      <c r="X17" s="236"/>
      <c r="Y17" s="236"/>
      <c r="Z17" s="236"/>
      <c r="AB17" s="86"/>
      <c r="AC17" s="131"/>
      <c r="AD17" s="131"/>
    </row>
    <row r="18" spans="1:30" s="123" customFormat="1" ht="13.2" customHeight="1" x14ac:dyDescent="0.35">
      <c r="A18" s="86"/>
      <c r="B18" s="86"/>
      <c r="C18" s="241" t="str">
        <f>VLOOKUP(B16,Уч!$A$2:$L$16,7,FALSE)</f>
        <v>ГБУ РК "СШ №1 г.Симферополь"</v>
      </c>
      <c r="D18" s="242"/>
      <c r="E18" s="285" t="s">
        <v>29</v>
      </c>
      <c r="F18" s="243">
        <f>VLOOKUP($B16,'110 сб '!$C$17:$I$87,7,FALSE)</f>
        <v>886</v>
      </c>
      <c r="G18" s="243">
        <f>VLOOKUP($B16,высота!$C$17:$AF$42,30,FALSE)</f>
        <v>0</v>
      </c>
      <c r="H18" s="243">
        <f>VLOOKUP($B16,ядро!$C$17:$K$43,9,FALSE)</f>
        <v>0</v>
      </c>
      <c r="I18" s="243" t="e">
        <f>VLOOKUP($B16,'2_р'!$C$17:$I$68,7,FALSE)</f>
        <v>#N/A</v>
      </c>
      <c r="J18" s="243" t="e">
        <f>VLOOKUP($B16,Дл_р!$C$17:$O$43,13,FALSE)</f>
        <v>#N/A</v>
      </c>
      <c r="K18" s="243" t="e">
        <f>VLOOKUP($B16,К_р!$C$18:$K$31,9,FALSE)</f>
        <v>#N/A</v>
      </c>
      <c r="L18" s="240" t="e">
        <f>VLOOKUP($B16,'8_р'!$C$17:$H$77,6,FALSE)</f>
        <v>#N/A</v>
      </c>
      <c r="M18" s="152"/>
      <c r="N18" s="244"/>
      <c r="O18" s="152"/>
      <c r="P18" s="243">
        <f>B16</f>
        <v>23</v>
      </c>
      <c r="Q18" s="131" t="e">
        <f>$A16</f>
        <v>#N/A</v>
      </c>
      <c r="R18" s="131">
        <v>3</v>
      </c>
      <c r="S18" s="131" t="e">
        <f>$A16</f>
        <v>#N/A</v>
      </c>
      <c r="T18" s="236"/>
      <c r="U18" s="236"/>
      <c r="V18" s="236"/>
      <c r="W18" s="236"/>
      <c r="X18" s="236"/>
      <c r="Y18" s="236"/>
      <c r="Z18" s="236"/>
      <c r="AB18" s="86"/>
      <c r="AC18" s="131"/>
      <c r="AD18" s="131"/>
    </row>
    <row r="19" spans="1:30" s="123" customFormat="1" ht="13.2" customHeight="1" x14ac:dyDescent="0.35">
      <c r="A19" s="86"/>
      <c r="B19" s="86"/>
      <c r="C19" s="241" t="str">
        <f>VLOOKUP(B16,Уч!$A$2:$L$16,11,FALSE)</f>
        <v>Леонов О.Н., Копытич А.Л., Копытич Д.Л.</v>
      </c>
      <c r="D19" s="131"/>
      <c r="E19" s="285" t="s">
        <v>125</v>
      </c>
      <c r="F19" s="243">
        <f>F18</f>
        <v>886</v>
      </c>
      <c r="G19" s="243">
        <f t="shared" ref="G19:L19" si="0">F19+G18</f>
        <v>886</v>
      </c>
      <c r="H19" s="243">
        <f t="shared" si="0"/>
        <v>886</v>
      </c>
      <c r="I19" s="243" t="e">
        <f t="shared" si="0"/>
        <v>#N/A</v>
      </c>
      <c r="J19" s="243" t="e">
        <f t="shared" si="0"/>
        <v>#N/A</v>
      </c>
      <c r="K19" s="243" t="e">
        <f t="shared" si="0"/>
        <v>#N/A</v>
      </c>
      <c r="L19" s="240" t="e">
        <f t="shared" si="0"/>
        <v>#N/A</v>
      </c>
      <c r="M19" s="152"/>
      <c r="N19" s="244"/>
      <c r="O19" s="152"/>
      <c r="P19" s="243">
        <f>B16</f>
        <v>23</v>
      </c>
      <c r="Q19" s="131" t="e">
        <f>$A16</f>
        <v>#N/A</v>
      </c>
      <c r="R19" s="131">
        <v>4</v>
      </c>
      <c r="S19" s="131" t="e">
        <f>$A16</f>
        <v>#N/A</v>
      </c>
      <c r="T19" s="152">
        <f t="shared" ref="T19:Z19" si="1">F19</f>
        <v>886</v>
      </c>
      <c r="U19" s="152">
        <f t="shared" si="1"/>
        <v>886</v>
      </c>
      <c r="V19" s="152">
        <f t="shared" si="1"/>
        <v>886</v>
      </c>
      <c r="W19" s="152" t="e">
        <f t="shared" si="1"/>
        <v>#N/A</v>
      </c>
      <c r="X19" s="152" t="e">
        <f t="shared" si="1"/>
        <v>#N/A</v>
      </c>
      <c r="Y19" s="152" t="e">
        <f t="shared" si="1"/>
        <v>#N/A</v>
      </c>
      <c r="Z19" s="152" t="e">
        <f t="shared" si="1"/>
        <v>#N/A</v>
      </c>
      <c r="AB19" s="86"/>
      <c r="AC19" s="131"/>
      <c r="AD19" s="131"/>
    </row>
    <row r="20" spans="1:30" s="123" customFormat="1" ht="13.2" customHeight="1" thickBot="1" x14ac:dyDescent="0.4">
      <c r="A20" s="245"/>
      <c r="B20" s="245"/>
      <c r="C20" s="246" t="str">
        <f>VLOOKUP(B16,Уч!$A$2:$L$16,12,FALSE)</f>
        <v/>
      </c>
      <c r="D20" s="247"/>
      <c r="E20" s="286" t="s">
        <v>60</v>
      </c>
      <c r="F20" s="249" t="e">
        <f>RANK(F19,$T$16:$T$50,0)</f>
        <v>#N/A</v>
      </c>
      <c r="G20" s="249" t="e">
        <f>RANK(G19,$U$16:$U$50,0)</f>
        <v>#N/A</v>
      </c>
      <c r="H20" s="249" t="e">
        <f>RANK(H19,$V$16:$V$50,0)</f>
        <v>#N/A</v>
      </c>
      <c r="I20" s="249" t="e">
        <f>RANK(I19,$W$16:$W$50,0)</f>
        <v>#N/A</v>
      </c>
      <c r="J20" s="249" t="e">
        <f>RANK(J19,$X$16:$X$50,0)</f>
        <v>#N/A</v>
      </c>
      <c r="K20" s="249" t="e">
        <f>RANK(K19,$Y$16:$Y$50,0)</f>
        <v>#N/A</v>
      </c>
      <c r="L20" s="250" t="e">
        <f>RANK(L19,$Z$16:$Z$50,0)</f>
        <v>#N/A</v>
      </c>
      <c r="M20" s="251"/>
      <c r="N20" s="252"/>
      <c r="O20" s="251"/>
      <c r="P20" s="243">
        <f>B16</f>
        <v>23</v>
      </c>
      <c r="Q20" s="131" t="e">
        <f>$A16</f>
        <v>#N/A</v>
      </c>
      <c r="R20" s="131">
        <v>5</v>
      </c>
      <c r="S20" s="131" t="e">
        <f>$A16</f>
        <v>#N/A</v>
      </c>
      <c r="T20" s="236"/>
      <c r="U20" s="236"/>
      <c r="V20" s="236"/>
      <c r="W20" s="236"/>
      <c r="X20" s="236"/>
      <c r="Y20" s="236"/>
      <c r="Z20" s="236"/>
      <c r="AB20" s="86"/>
      <c r="AC20" s="131"/>
      <c r="AD20" s="131"/>
    </row>
    <row r="21" spans="1:30" s="123" customFormat="1" ht="13.2" customHeight="1" thickTop="1" x14ac:dyDescent="0.35">
      <c r="A21" s="86" t="e">
        <f>RANK(M21,$M$16:$M$50,0)</f>
        <v>#N/A</v>
      </c>
      <c r="B21" s="86">
        <v>8</v>
      </c>
      <c r="C21" s="123" t="str">
        <f>VLOOKUP(B21,Уч!$A$2:$L$16,2,FALSE)</f>
        <v>Бутвина Александра</v>
      </c>
      <c r="D21" s="231" t="str">
        <f>VLOOKUP(B21,Уч!$A$2:$L$16,3,FALSE)</f>
        <v>14.02.1986</v>
      </c>
      <c r="E21" s="285" t="s">
        <v>18</v>
      </c>
      <c r="F21" s="233">
        <f>VLOOKUP($B21,'110 сб '!$C$17:$I$87,5,FALSE)</f>
        <v>14.98</v>
      </c>
      <c r="G21" s="233">
        <f>VLOOKUP($B21,высота!$C$17:$AF$42,29,FALSE)</f>
        <v>1.62</v>
      </c>
      <c r="H21" s="233">
        <f>VLOOKUP($B21,ядро!$C$17:$K$43,8,FALSE)</f>
        <v>12.17</v>
      </c>
      <c r="I21" s="233" t="e">
        <f>VLOOKUP($B21,'2_р'!$C$17:$I$68,5,FALSE)</f>
        <v>#N/A</v>
      </c>
      <c r="J21" s="233" t="e">
        <f>VLOOKUP($B21,Дл_р!$C$17:$O$43,11,FALSE)</f>
        <v>#N/A</v>
      </c>
      <c r="K21" s="233" t="e">
        <f>VLOOKUP($B21,К_р!$C$18:$K$31,8,FALSE)</f>
        <v>#N/A</v>
      </c>
      <c r="L21" s="234" t="e">
        <f>VLOOKUP($B21,'8_р'!$C$17:$H$77,5,FALSE)</f>
        <v>#N/A</v>
      </c>
      <c r="M21" s="152" t="e">
        <f>SUM(F23:L23)</f>
        <v>#N/A</v>
      </c>
      <c r="N21" s="86" t="e">
        <f>LOOKUP(M21,R$1:AA$1,R$2:AA$2)</f>
        <v>#N/A</v>
      </c>
      <c r="O21" s="86" t="e">
        <f>AC21+AD21+5</f>
        <v>#N/A</v>
      </c>
      <c r="P21" s="86">
        <f>B21</f>
        <v>8</v>
      </c>
      <c r="Q21" s="131" t="e">
        <f>$A21</f>
        <v>#N/A</v>
      </c>
      <c r="R21" s="131">
        <v>1</v>
      </c>
      <c r="S21" s="131" t="e">
        <f>$A21</f>
        <v>#N/A</v>
      </c>
      <c r="T21" s="236"/>
      <c r="U21" s="236"/>
      <c r="V21" s="236"/>
      <c r="W21" s="236"/>
      <c r="X21" s="236"/>
      <c r="Y21" s="236"/>
      <c r="Z21" s="253"/>
      <c r="AB21" s="86"/>
      <c r="AC21" s="131" t="e">
        <f>IF(AND(Q21&gt;16,M21&gt;=4600),"1",LOOKUP(Q21,Q$5:AH$5,Q$6:AH$6))</f>
        <v>#N/A</v>
      </c>
      <c r="AD21" s="131" t="e">
        <f>LOOKUP(N21,R$8:W$8,R$9:W$9)</f>
        <v>#N/A</v>
      </c>
    </row>
    <row r="22" spans="1:30" s="123" customFormat="1" ht="13.2" customHeight="1" x14ac:dyDescent="0.35">
      <c r="A22" s="86"/>
      <c r="B22" s="86"/>
      <c r="C22" s="123" t="str">
        <f>VLOOKUP(B21,Уч!$A$2:$L$16,5,FALSE)</f>
        <v xml:space="preserve">Ростовская область Санкт-Петербург </v>
      </c>
      <c r="D22" s="231" t="str">
        <f>VLOOKUP(B21,Уч!$A$2:$L$16,4,FALSE)</f>
        <v>МСМК</v>
      </c>
      <c r="E22" s="285" t="s">
        <v>25</v>
      </c>
      <c r="F22" s="238">
        <f>VLOOKUP($B21,'110 сб '!$C$17:$I$87,6,FALSE)</f>
        <v>0</v>
      </c>
      <c r="G22" s="239"/>
      <c r="H22" s="239"/>
      <c r="I22" s="238" t="e">
        <f>VLOOKUP($B21,'2_р'!$C$17:$I$68,6,FALSE)</f>
        <v>#N/A</v>
      </c>
      <c r="J22" s="238" t="e">
        <f>VLOOKUP($B21,Дл_р!$C$17:$O$43,12,FALSE)</f>
        <v>#N/A</v>
      </c>
      <c r="K22" s="239"/>
      <c r="L22" s="240"/>
      <c r="M22" s="152"/>
      <c r="N22" s="86"/>
      <c r="O22" s="86" t="e">
        <f>CONCATENATE(AC21,"+",AD21,"+",5)</f>
        <v>#N/A</v>
      </c>
      <c r="P22" s="86">
        <f>B21</f>
        <v>8</v>
      </c>
      <c r="Q22" s="131" t="e">
        <f>$A21</f>
        <v>#N/A</v>
      </c>
      <c r="R22" s="131">
        <v>2</v>
      </c>
      <c r="S22" s="131" t="e">
        <f>$A21</f>
        <v>#N/A</v>
      </c>
      <c r="T22" s="236"/>
      <c r="U22" s="236"/>
      <c r="V22" s="236"/>
      <c r="W22" s="236"/>
      <c r="X22" s="236"/>
      <c r="Y22" s="236"/>
      <c r="Z22" s="253"/>
      <c r="AB22" s="86"/>
      <c r="AC22" s="131"/>
      <c r="AD22" s="131"/>
    </row>
    <row r="23" spans="1:30" s="123" customFormat="1" ht="13.2" customHeight="1" x14ac:dyDescent="0.35">
      <c r="A23" s="86"/>
      <c r="B23" s="86"/>
      <c r="C23" s="241" t="str">
        <f>VLOOKUP(B21,Уч!$A$2:$L$16,7,FALSE)</f>
        <v>ГБУ РО "ЦОП №1", СПб ГБУ ЦОП "ШВСМ по легкой атлетике"</v>
      </c>
      <c r="D23" s="242"/>
      <c r="E23" s="285" t="s">
        <v>29</v>
      </c>
      <c r="F23" s="243">
        <f>VLOOKUP($B21,'110 сб '!$C$17:$I$87,7,FALSE)</f>
        <v>844</v>
      </c>
      <c r="G23" s="243">
        <f>VLOOKUP($B21,высота!$C$17:$AF$42,30,FALSE)</f>
        <v>0</v>
      </c>
      <c r="H23" s="243">
        <f>VLOOKUP($B21,ядро!$C$17:$K$43,9,FALSE)</f>
        <v>672</v>
      </c>
      <c r="I23" s="243" t="e">
        <f>VLOOKUP($B21,'2_р'!$C$17:$I$68,7,FALSE)</f>
        <v>#N/A</v>
      </c>
      <c r="J23" s="243" t="e">
        <f>VLOOKUP($B21,Дл_р!$C$17:$O$43,13,FALSE)</f>
        <v>#N/A</v>
      </c>
      <c r="K23" s="243" t="e">
        <f>VLOOKUP($B21,К_р!$C$18:$K$31,9,FALSE)</f>
        <v>#N/A</v>
      </c>
      <c r="L23" s="240" t="e">
        <f>VLOOKUP($B21,'8_р'!$C$17:$H$77,6,FALSE)</f>
        <v>#N/A</v>
      </c>
      <c r="M23" s="152"/>
      <c r="N23" s="244"/>
      <c r="O23" s="152"/>
      <c r="P23" s="243">
        <f>B21</f>
        <v>8</v>
      </c>
      <c r="Q23" s="131" t="e">
        <f>$A21</f>
        <v>#N/A</v>
      </c>
      <c r="R23" s="131">
        <v>3</v>
      </c>
      <c r="S23" s="131" t="e">
        <f>$A21</f>
        <v>#N/A</v>
      </c>
      <c r="T23" s="236"/>
      <c r="U23" s="236"/>
      <c r="V23" s="236"/>
      <c r="W23" s="236"/>
      <c r="X23" s="236"/>
      <c r="Y23" s="236"/>
      <c r="Z23" s="253"/>
      <c r="AB23" s="86"/>
      <c r="AC23" s="131"/>
      <c r="AD23" s="131"/>
    </row>
    <row r="24" spans="1:30" s="123" customFormat="1" ht="13.2" customHeight="1" x14ac:dyDescent="0.35">
      <c r="A24" s="86"/>
      <c r="B24" s="86"/>
      <c r="C24" s="241" t="str">
        <f>VLOOKUP(B21,Уч!$A$2:$L$16,11,FALSE)</f>
        <v>Есина И.А., Сретенцев В.В., Радух А.О.</v>
      </c>
      <c r="D24" s="131"/>
      <c r="E24" s="285" t="s">
        <v>125</v>
      </c>
      <c r="F24" s="243">
        <f>F23</f>
        <v>844</v>
      </c>
      <c r="G24" s="243">
        <f t="shared" ref="G24:L24" si="2">F24+G23</f>
        <v>844</v>
      </c>
      <c r="H24" s="243">
        <f t="shared" si="2"/>
        <v>1516</v>
      </c>
      <c r="I24" s="243" t="e">
        <f t="shared" si="2"/>
        <v>#N/A</v>
      </c>
      <c r="J24" s="243" t="e">
        <f t="shared" si="2"/>
        <v>#N/A</v>
      </c>
      <c r="K24" s="243" t="e">
        <f t="shared" si="2"/>
        <v>#N/A</v>
      </c>
      <c r="L24" s="240" t="e">
        <f t="shared" si="2"/>
        <v>#N/A</v>
      </c>
      <c r="M24" s="152"/>
      <c r="N24" s="244"/>
      <c r="O24" s="152"/>
      <c r="P24" s="243">
        <f>B21</f>
        <v>8</v>
      </c>
      <c r="Q24" s="131" t="e">
        <f>$A21</f>
        <v>#N/A</v>
      </c>
      <c r="R24" s="131">
        <v>4</v>
      </c>
      <c r="S24" s="131" t="e">
        <f>$A21</f>
        <v>#N/A</v>
      </c>
      <c r="T24" s="152">
        <f t="shared" ref="T24:Z24" si="3">F24</f>
        <v>844</v>
      </c>
      <c r="U24" s="152">
        <f t="shared" si="3"/>
        <v>844</v>
      </c>
      <c r="V24" s="152">
        <f t="shared" si="3"/>
        <v>1516</v>
      </c>
      <c r="W24" s="152" t="e">
        <f t="shared" si="3"/>
        <v>#N/A</v>
      </c>
      <c r="X24" s="152" t="e">
        <f t="shared" si="3"/>
        <v>#N/A</v>
      </c>
      <c r="Y24" s="152" t="e">
        <f t="shared" si="3"/>
        <v>#N/A</v>
      </c>
      <c r="Z24" s="152" t="e">
        <f t="shared" si="3"/>
        <v>#N/A</v>
      </c>
      <c r="AB24" s="86"/>
      <c r="AC24" s="131"/>
      <c r="AD24" s="131"/>
    </row>
    <row r="25" spans="1:30" s="123" customFormat="1" ht="13.2" customHeight="1" thickBot="1" x14ac:dyDescent="0.4">
      <c r="A25" s="245"/>
      <c r="B25" s="245"/>
      <c r="C25" s="246" t="str">
        <f>VLOOKUP(B21,Уч!$A$2:$L$16,12,FALSE)</f>
        <v/>
      </c>
      <c r="D25" s="247"/>
      <c r="E25" s="286" t="s">
        <v>60</v>
      </c>
      <c r="F25" s="249" t="e">
        <f>RANK(F24,$T$16:$T$50,0)</f>
        <v>#N/A</v>
      </c>
      <c r="G25" s="249" t="e">
        <f>RANK(G24,$U$16:$U$50,0)</f>
        <v>#N/A</v>
      </c>
      <c r="H25" s="249" t="e">
        <f>RANK(H24,$V$16:$V$50,0)</f>
        <v>#N/A</v>
      </c>
      <c r="I25" s="249" t="e">
        <f>RANK(I24,$W$16:$W$50,0)</f>
        <v>#N/A</v>
      </c>
      <c r="J25" s="249" t="e">
        <f>RANK(J24,$X$16:$X$50,0)</f>
        <v>#N/A</v>
      </c>
      <c r="K25" s="249" t="e">
        <f>RANK(K24,$Y$16:$Y$50,0)</f>
        <v>#N/A</v>
      </c>
      <c r="L25" s="250" t="e">
        <f>RANK(L24,$Z$16:$Z$50,0)</f>
        <v>#N/A</v>
      </c>
      <c r="M25" s="251"/>
      <c r="N25" s="252"/>
      <c r="O25" s="251"/>
      <c r="P25" s="243">
        <f>B21</f>
        <v>8</v>
      </c>
      <c r="Q25" s="131" t="e">
        <f>$A21</f>
        <v>#N/A</v>
      </c>
      <c r="R25" s="131">
        <v>5</v>
      </c>
      <c r="S25" s="131" t="e">
        <f>$A21</f>
        <v>#N/A</v>
      </c>
      <c r="T25" s="236"/>
      <c r="U25" s="236"/>
      <c r="V25" s="236"/>
      <c r="W25" s="236"/>
      <c r="X25" s="236"/>
      <c r="Y25" s="236"/>
      <c r="Z25" s="253"/>
      <c r="AB25" s="86"/>
      <c r="AC25" s="131"/>
      <c r="AD25" s="131"/>
    </row>
    <row r="26" spans="1:30" s="123" customFormat="1" ht="13.2" customHeight="1" thickTop="1" x14ac:dyDescent="0.35">
      <c r="A26" s="86" t="e">
        <f>RANK(M26,$M$16:$M$50,0)</f>
        <v>#N/A</v>
      </c>
      <c r="B26" s="86">
        <v>70</v>
      </c>
      <c r="C26" s="123" t="e">
        <f>VLOOKUP(B26,Уч!$A$2:$L$16,2,FALSE)</f>
        <v>#N/A</v>
      </c>
      <c r="D26" s="231" t="e">
        <f>VLOOKUP(B26,Уч!$A$2:$L$16,3,FALSE)</f>
        <v>#N/A</v>
      </c>
      <c r="E26" s="285" t="s">
        <v>18</v>
      </c>
      <c r="F26" s="233" t="e">
        <f>VLOOKUP($B26,'110 сб '!$C$17:$I$87,5,FALSE)</f>
        <v>#N/A</v>
      </c>
      <c r="G26" s="233" t="e">
        <f>VLOOKUP($B26,высота!$C$17:$AF$42,29,FALSE)</f>
        <v>#N/A</v>
      </c>
      <c r="H26" s="233" t="e">
        <f>VLOOKUP($B26,ядро!$C$17:$K$43,8,FALSE)</f>
        <v>#N/A</v>
      </c>
      <c r="I26" s="233" t="e">
        <f>VLOOKUP($B26,'2_р'!$C$17:$I$68,5,FALSE)</f>
        <v>#N/A</v>
      </c>
      <c r="J26" s="233" t="e">
        <f>VLOOKUP($B26,Дл_р!$C$17:$O$43,11,FALSE)</f>
        <v>#N/A</v>
      </c>
      <c r="K26" s="233" t="e">
        <f>VLOOKUP($B26,К_р!$C$18:$K$31,8,FALSE)</f>
        <v>#N/A</v>
      </c>
      <c r="L26" s="234" t="e">
        <f>VLOOKUP($B26,'8_р'!$C$17:$H$77,5,FALSE)</f>
        <v>#N/A</v>
      </c>
      <c r="M26" s="152" t="e">
        <f>SUM(F28:L28)</f>
        <v>#N/A</v>
      </c>
      <c r="N26" s="86" t="e">
        <f>LOOKUP(M26,R$1:AA$1,R$2:AA$2)</f>
        <v>#N/A</v>
      </c>
      <c r="O26" s="86" t="e">
        <f>AC26+AD26+5</f>
        <v>#N/A</v>
      </c>
      <c r="P26" s="86">
        <f>B26</f>
        <v>70</v>
      </c>
      <c r="Q26" s="131" t="e">
        <f>$A26</f>
        <v>#N/A</v>
      </c>
      <c r="R26" s="131">
        <v>1</v>
      </c>
      <c r="S26" s="131" t="e">
        <f>$A26</f>
        <v>#N/A</v>
      </c>
      <c r="T26" s="236"/>
      <c r="U26" s="236"/>
      <c r="V26" s="236"/>
      <c r="W26" s="236"/>
      <c r="X26" s="236"/>
      <c r="Y26" s="236"/>
      <c r="Z26" s="236"/>
      <c r="AC26" s="131" t="e">
        <f>IF(AND(Q26&gt;16,M26&gt;=4600),"1",LOOKUP(Q26,Q$5:AH$5,Q$6:AH$6))</f>
        <v>#N/A</v>
      </c>
      <c r="AD26" s="131" t="e">
        <f>LOOKUP(N26,R$8:W$8,R$9:W$9)</f>
        <v>#N/A</v>
      </c>
    </row>
    <row r="27" spans="1:30" s="123" customFormat="1" ht="13.2" customHeight="1" x14ac:dyDescent="0.35">
      <c r="A27" s="86"/>
      <c r="B27" s="86"/>
      <c r="C27" s="123" t="e">
        <f>VLOOKUP(B26,Уч!$A$2:$L$16,5,FALSE)</f>
        <v>#N/A</v>
      </c>
      <c r="D27" s="231" t="e">
        <f>VLOOKUP(B26,Уч!$A$2:$L$16,4,FALSE)</f>
        <v>#N/A</v>
      </c>
      <c r="E27" s="285" t="s">
        <v>25</v>
      </c>
      <c r="F27" s="238" t="e">
        <f>VLOOKUP($B26,'110 сб '!$C$17:$I$87,6,FALSE)</f>
        <v>#N/A</v>
      </c>
      <c r="G27" s="239"/>
      <c r="H27" s="239"/>
      <c r="I27" s="238" t="e">
        <f>VLOOKUP($B26,'2_р'!$C$17:$I$68,6,FALSE)</f>
        <v>#N/A</v>
      </c>
      <c r="J27" s="238" t="e">
        <f>VLOOKUP($B26,Дл_р!$C$17:$O$43,12,FALSE)</f>
        <v>#N/A</v>
      </c>
      <c r="K27" s="239"/>
      <c r="L27" s="240"/>
      <c r="M27" s="152"/>
      <c r="N27" s="86"/>
      <c r="O27" s="86" t="e">
        <f>CONCATENATE(AC26,"+",AD26,"+",5)</f>
        <v>#N/A</v>
      </c>
      <c r="P27" s="86">
        <f>B26</f>
        <v>70</v>
      </c>
      <c r="Q27" s="131" t="e">
        <f>$A26</f>
        <v>#N/A</v>
      </c>
      <c r="R27" s="131">
        <v>2</v>
      </c>
      <c r="S27" s="131" t="e">
        <f>$A26</f>
        <v>#N/A</v>
      </c>
      <c r="T27" s="236"/>
      <c r="U27" s="236"/>
      <c r="V27" s="236"/>
      <c r="W27" s="236"/>
      <c r="X27" s="236"/>
      <c r="Y27" s="236"/>
      <c r="Z27" s="236"/>
      <c r="AC27" s="131"/>
      <c r="AD27" s="131"/>
    </row>
    <row r="28" spans="1:30" s="123" customFormat="1" ht="13.2" customHeight="1" x14ac:dyDescent="0.35">
      <c r="A28" s="86"/>
      <c r="B28" s="86"/>
      <c r="C28" s="241" t="e">
        <f>VLOOKUP(B26,Уч!$A$2:$L$16,7,FALSE)</f>
        <v>#N/A</v>
      </c>
      <c r="D28" s="242"/>
      <c r="E28" s="285" t="s">
        <v>29</v>
      </c>
      <c r="F28" s="243" t="e">
        <f>VLOOKUP($B26,'110 сб '!$C$17:$I$87,7,FALSE)</f>
        <v>#N/A</v>
      </c>
      <c r="G28" s="243" t="e">
        <f>VLOOKUP($B26,высота!$C$17:$AF$42,30,FALSE)</f>
        <v>#N/A</v>
      </c>
      <c r="H28" s="243" t="e">
        <f>VLOOKUP($B26,ядро!$C$17:$K$43,9,FALSE)</f>
        <v>#N/A</v>
      </c>
      <c r="I28" s="243" t="e">
        <f>VLOOKUP($B26,'2_р'!$C$17:$I$68,7,FALSE)</f>
        <v>#N/A</v>
      </c>
      <c r="J28" s="243" t="e">
        <f>VLOOKUP($B26,Дл_р!$C$17:$O$43,13,FALSE)</f>
        <v>#N/A</v>
      </c>
      <c r="K28" s="243" t="e">
        <f>VLOOKUP($B26,К_р!$C$18:$K$31,9,FALSE)</f>
        <v>#N/A</v>
      </c>
      <c r="L28" s="240" t="e">
        <f>VLOOKUP($B26,'8_р'!$C$17:$H$77,6,FALSE)</f>
        <v>#N/A</v>
      </c>
      <c r="M28" s="152"/>
      <c r="N28" s="244"/>
      <c r="O28" s="152"/>
      <c r="P28" s="243">
        <f>B26</f>
        <v>70</v>
      </c>
      <c r="Q28" s="131" t="e">
        <f>$A26</f>
        <v>#N/A</v>
      </c>
      <c r="R28" s="131">
        <v>3</v>
      </c>
      <c r="S28" s="131" t="e">
        <f>$A26</f>
        <v>#N/A</v>
      </c>
      <c r="T28" s="236"/>
      <c r="U28" s="236"/>
      <c r="V28" s="236"/>
      <c r="W28" s="236"/>
      <c r="X28" s="236"/>
      <c r="Y28" s="236"/>
      <c r="Z28" s="236"/>
      <c r="AB28" s="86"/>
      <c r="AC28" s="131"/>
      <c r="AD28" s="131"/>
    </row>
    <row r="29" spans="1:30" s="123" customFormat="1" ht="13.2" customHeight="1" x14ac:dyDescent="0.35">
      <c r="A29" s="86"/>
      <c r="B29" s="86"/>
      <c r="C29" s="241" t="e">
        <f>VLOOKUP(B26,Уч!$A$2:$L$16,11,FALSE)</f>
        <v>#N/A</v>
      </c>
      <c r="D29" s="131"/>
      <c r="E29" s="285" t="s">
        <v>125</v>
      </c>
      <c r="F29" s="243" t="e">
        <f>F28</f>
        <v>#N/A</v>
      </c>
      <c r="G29" s="243" t="e">
        <f t="shared" ref="G29:L29" si="4">F29+G28</f>
        <v>#N/A</v>
      </c>
      <c r="H29" s="243" t="e">
        <f t="shared" si="4"/>
        <v>#N/A</v>
      </c>
      <c r="I29" s="243" t="e">
        <f t="shared" si="4"/>
        <v>#N/A</v>
      </c>
      <c r="J29" s="243" t="e">
        <f t="shared" si="4"/>
        <v>#N/A</v>
      </c>
      <c r="K29" s="243" t="e">
        <f t="shared" si="4"/>
        <v>#N/A</v>
      </c>
      <c r="L29" s="240" t="e">
        <f t="shared" si="4"/>
        <v>#N/A</v>
      </c>
      <c r="M29" s="152"/>
      <c r="N29" s="244"/>
      <c r="O29" s="152"/>
      <c r="P29" s="243">
        <f>B26</f>
        <v>70</v>
      </c>
      <c r="Q29" s="131" t="e">
        <f>$A26</f>
        <v>#N/A</v>
      </c>
      <c r="R29" s="131">
        <v>4</v>
      </c>
      <c r="S29" s="131" t="e">
        <f>$A26</f>
        <v>#N/A</v>
      </c>
      <c r="T29" s="152" t="e">
        <f t="shared" ref="T29:Z29" si="5">F29</f>
        <v>#N/A</v>
      </c>
      <c r="U29" s="152" t="e">
        <f t="shared" si="5"/>
        <v>#N/A</v>
      </c>
      <c r="V29" s="152" t="e">
        <f t="shared" si="5"/>
        <v>#N/A</v>
      </c>
      <c r="W29" s="152" t="e">
        <f t="shared" si="5"/>
        <v>#N/A</v>
      </c>
      <c r="X29" s="152" t="e">
        <f t="shared" si="5"/>
        <v>#N/A</v>
      </c>
      <c r="Y29" s="152" t="e">
        <f t="shared" si="5"/>
        <v>#N/A</v>
      </c>
      <c r="Z29" s="152" t="e">
        <f t="shared" si="5"/>
        <v>#N/A</v>
      </c>
      <c r="AB29" s="86"/>
      <c r="AC29" s="131"/>
      <c r="AD29" s="131"/>
    </row>
    <row r="30" spans="1:30" s="123" customFormat="1" ht="13.2" customHeight="1" thickBot="1" x14ac:dyDescent="0.4">
      <c r="A30" s="245"/>
      <c r="B30" s="245"/>
      <c r="C30" s="246" t="e">
        <f>VLOOKUP(B26,Уч!$A$2:$L$16,12,FALSE)</f>
        <v>#N/A</v>
      </c>
      <c r="D30" s="247"/>
      <c r="E30" s="286" t="s">
        <v>60</v>
      </c>
      <c r="F30" s="249" t="e">
        <f>RANK(F29,$T$16:$T$50,0)</f>
        <v>#N/A</v>
      </c>
      <c r="G30" s="249" t="e">
        <f>RANK(G29,$U$16:$U$50,0)</f>
        <v>#N/A</v>
      </c>
      <c r="H30" s="249" t="e">
        <f>RANK(H29,$V$16:$V$50,0)</f>
        <v>#N/A</v>
      </c>
      <c r="I30" s="249" t="e">
        <f>RANK(I29,$W$16:$W$50,0)</f>
        <v>#N/A</v>
      </c>
      <c r="J30" s="249" t="e">
        <f>RANK(J29,$X$16:$X$50,0)</f>
        <v>#N/A</v>
      </c>
      <c r="K30" s="249" t="e">
        <f>RANK(K29,$Y$16:$Y$50,0)</f>
        <v>#N/A</v>
      </c>
      <c r="L30" s="250" t="e">
        <f>RANK(L29,$Z$16:$Z$50,0)</f>
        <v>#N/A</v>
      </c>
      <c r="M30" s="251"/>
      <c r="N30" s="252"/>
      <c r="O30" s="251"/>
      <c r="P30" s="243">
        <f>B26</f>
        <v>70</v>
      </c>
      <c r="Q30" s="131" t="e">
        <f>$A26</f>
        <v>#N/A</v>
      </c>
      <c r="R30" s="131">
        <v>5</v>
      </c>
      <c r="S30" s="131" t="e">
        <f>$A26</f>
        <v>#N/A</v>
      </c>
      <c r="T30" s="236"/>
      <c r="U30" s="236"/>
      <c r="V30" s="236"/>
      <c r="W30" s="236"/>
      <c r="X30" s="236"/>
      <c r="Y30" s="236"/>
      <c r="Z30" s="236"/>
      <c r="AB30" s="86"/>
      <c r="AC30" s="131"/>
      <c r="AD30" s="131"/>
    </row>
    <row r="31" spans="1:30" s="123" customFormat="1" ht="13.2" customHeight="1" thickTop="1" x14ac:dyDescent="0.35">
      <c r="A31" s="86">
        <v>4</v>
      </c>
      <c r="B31" s="86">
        <v>3</v>
      </c>
      <c r="C31" s="123" t="e">
        <f>VLOOKUP(B31,Уч!$A$2:$L$16,2,FALSE)</f>
        <v>#N/A</v>
      </c>
      <c r="D31" s="231" t="e">
        <f>VLOOKUP(B31,Уч!$A$2:$L$16,3,FALSE)</f>
        <v>#N/A</v>
      </c>
      <c r="E31" s="285" t="s">
        <v>18</v>
      </c>
      <c r="F31" s="233" t="e">
        <f>VLOOKUP($B31,'110 сб '!$C$17:$I$87,5,FALSE)</f>
        <v>#N/A</v>
      </c>
      <c r="G31" s="233" t="e">
        <f>VLOOKUP($B31,высота!$C$17:$AF$42,29,FALSE)</f>
        <v>#N/A</v>
      </c>
      <c r="H31" s="233" t="e">
        <f>VLOOKUP($B31,ядро!$C$17:$K$43,8,FALSE)</f>
        <v>#N/A</v>
      </c>
      <c r="I31" s="233" t="e">
        <f>VLOOKUP($B31,'2_р'!$C$17:$I$68,5,FALSE)</f>
        <v>#N/A</v>
      </c>
      <c r="J31" s="233" t="e">
        <f>VLOOKUP($B31,Дл_р!$C$17:$O$43,11,FALSE)</f>
        <v>#N/A</v>
      </c>
      <c r="K31" s="233" t="e">
        <f>VLOOKUP($B31,К_р!$C$18:$K$31,8,FALSE)</f>
        <v>#N/A</v>
      </c>
      <c r="L31" s="234" t="e">
        <f>VLOOKUP($B31,'8_р'!$C$17:$H$77,5,FALSE)</f>
        <v>#N/A</v>
      </c>
      <c r="M31" s="15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3</v>
      </c>
      <c r="Q31" s="131">
        <f>$A31</f>
        <v>4</v>
      </c>
      <c r="R31" s="131">
        <v>1</v>
      </c>
      <c r="S31" s="131">
        <f>$A31</f>
        <v>4</v>
      </c>
      <c r="T31" s="236"/>
      <c r="U31" s="236"/>
      <c r="V31" s="236"/>
      <c r="W31" s="236"/>
      <c r="X31" s="236"/>
      <c r="Y31" s="236"/>
      <c r="Z31" s="236"/>
      <c r="AC31" s="131" t="e">
        <f>IF(AND(Q31&gt;16,M31&gt;=4600),"1",LOOKUP(Q31,Q$5:AH$5,Q$6:AH$6))</f>
        <v>#N/A</v>
      </c>
      <c r="AD31" s="131" t="e">
        <f>LOOKUP(N31,R$8:W$8,R$9:W$9)</f>
        <v>#N/A</v>
      </c>
    </row>
    <row r="32" spans="1:30" s="123" customFormat="1" ht="13.2" customHeight="1" x14ac:dyDescent="0.35">
      <c r="A32" s="86"/>
      <c r="B32" s="86"/>
      <c r="C32" s="123" t="e">
        <f>VLOOKUP(B31,Уч!$A$2:$L$16,5,FALSE)</f>
        <v>#N/A</v>
      </c>
      <c r="D32" s="231" t="e">
        <f>VLOOKUP(B31,Уч!$A$2:$L$16,4,FALSE)</f>
        <v>#N/A</v>
      </c>
      <c r="E32" s="285" t="s">
        <v>25</v>
      </c>
      <c r="F32" s="238" t="e">
        <f>VLOOKUP($B31,'110 сб '!$C$17:$I$87,6,FALSE)</f>
        <v>#N/A</v>
      </c>
      <c r="G32" s="239"/>
      <c r="H32" s="239"/>
      <c r="I32" s="238" t="e">
        <f>VLOOKUP($B31,'2_р'!$C$17:$I$68,6,FALSE)</f>
        <v>#N/A</v>
      </c>
      <c r="J32" s="238" t="e">
        <f>VLOOKUP($B31,Дл_р!$C$17:$O$43,12,FALSE)</f>
        <v>#N/A</v>
      </c>
      <c r="K32" s="239"/>
      <c r="L32" s="240"/>
      <c r="M32" s="152"/>
      <c r="N32" s="86"/>
      <c r="O32" s="86" t="e">
        <f>CONCATENATE(AC31,"+",AD31,"+",5)</f>
        <v>#N/A</v>
      </c>
      <c r="P32" s="86">
        <f>B31</f>
        <v>3</v>
      </c>
      <c r="Q32" s="131">
        <f>$A31</f>
        <v>4</v>
      </c>
      <c r="R32" s="131">
        <v>2</v>
      </c>
      <c r="S32" s="131">
        <f>$A31</f>
        <v>4</v>
      </c>
      <c r="T32" s="236"/>
      <c r="U32" s="236"/>
      <c r="V32" s="236"/>
      <c r="W32" s="236"/>
      <c r="X32" s="236"/>
      <c r="Y32" s="236"/>
      <c r="Z32" s="236"/>
      <c r="AC32" s="131"/>
      <c r="AD32" s="131"/>
    </row>
    <row r="33" spans="1:45" s="123" customFormat="1" ht="13.2" customHeight="1" x14ac:dyDescent="0.35">
      <c r="A33" s="86"/>
      <c r="B33" s="86"/>
      <c r="C33" s="241" t="e">
        <f>VLOOKUP(B31,Уч!$A$2:$L$16,7,FALSE)</f>
        <v>#N/A</v>
      </c>
      <c r="D33" s="242"/>
      <c r="E33" s="285" t="s">
        <v>29</v>
      </c>
      <c r="F33" s="243" t="e">
        <f>VLOOKUP($B31,'110 сб '!$C$17:$I$87,7,FALSE)</f>
        <v>#N/A</v>
      </c>
      <c r="G33" s="243" t="e">
        <f>VLOOKUP($B31,высота!$C$17:$AF$42,30,FALSE)</f>
        <v>#N/A</v>
      </c>
      <c r="H33" s="243" t="e">
        <f>VLOOKUP($B31,ядро!$C$17:$K$43,9,FALSE)</f>
        <v>#N/A</v>
      </c>
      <c r="I33" s="243" t="e">
        <f>VLOOKUP($B31,'2_р'!$C$17:$I$68,7,FALSE)</f>
        <v>#N/A</v>
      </c>
      <c r="J33" s="243" t="e">
        <f>VLOOKUP($B31,Дл_р!$C$17:$O$43,13,FALSE)</f>
        <v>#N/A</v>
      </c>
      <c r="K33" s="243" t="e">
        <f>VLOOKUP($B31,К_р!$C$18:$K$31,9,FALSE)</f>
        <v>#N/A</v>
      </c>
      <c r="L33" s="240" t="e">
        <f>VLOOKUP($B31,'8_р'!$C$17:$H$77,6,FALSE)</f>
        <v>#N/A</v>
      </c>
      <c r="M33" s="152"/>
      <c r="N33" s="244"/>
      <c r="O33" s="152"/>
      <c r="P33" s="243">
        <f>B31</f>
        <v>3</v>
      </c>
      <c r="Q33" s="131">
        <f>$A31</f>
        <v>4</v>
      </c>
      <c r="R33" s="131">
        <v>3</v>
      </c>
      <c r="S33" s="131">
        <f>$A31</f>
        <v>4</v>
      </c>
      <c r="T33" s="236"/>
      <c r="U33" s="236"/>
      <c r="V33" s="236"/>
      <c r="W33" s="236"/>
      <c r="X33" s="236"/>
      <c r="Y33" s="236"/>
      <c r="Z33" s="236"/>
      <c r="AC33" s="131"/>
      <c r="AD33" s="131"/>
    </row>
    <row r="34" spans="1:45" s="123" customFormat="1" ht="13.2" customHeight="1" x14ac:dyDescent="0.35">
      <c r="A34" s="86"/>
      <c r="B34" s="86"/>
      <c r="C34" s="241" t="e">
        <f>VLOOKUP(B31,Уч!$A$2:$L$16,11,FALSE)</f>
        <v>#N/A</v>
      </c>
      <c r="D34" s="131"/>
      <c r="E34" s="285" t="s">
        <v>125</v>
      </c>
      <c r="F34" s="243" t="e">
        <f>F33</f>
        <v>#N/A</v>
      </c>
      <c r="G34" s="243" t="e">
        <f t="shared" ref="G34:L34" si="6">F34+G33</f>
        <v>#N/A</v>
      </c>
      <c r="H34" s="243" t="e">
        <f t="shared" si="6"/>
        <v>#N/A</v>
      </c>
      <c r="I34" s="243" t="e">
        <f t="shared" si="6"/>
        <v>#N/A</v>
      </c>
      <c r="J34" s="243" t="e">
        <f t="shared" si="6"/>
        <v>#N/A</v>
      </c>
      <c r="K34" s="243" t="e">
        <f t="shared" si="6"/>
        <v>#N/A</v>
      </c>
      <c r="L34" s="240" t="e">
        <f t="shared" si="6"/>
        <v>#N/A</v>
      </c>
      <c r="M34" s="152"/>
      <c r="N34" s="244"/>
      <c r="O34" s="152"/>
      <c r="P34" s="243">
        <f>B31</f>
        <v>3</v>
      </c>
      <c r="Q34" s="131">
        <f>$A31</f>
        <v>4</v>
      </c>
      <c r="R34" s="131">
        <v>4</v>
      </c>
      <c r="S34" s="131">
        <f>$A31</f>
        <v>4</v>
      </c>
      <c r="T34" s="152" t="e">
        <f t="shared" ref="T34:Z34" si="7">F34</f>
        <v>#N/A</v>
      </c>
      <c r="U34" s="152" t="e">
        <f t="shared" si="7"/>
        <v>#N/A</v>
      </c>
      <c r="V34" s="152" t="e">
        <f t="shared" si="7"/>
        <v>#N/A</v>
      </c>
      <c r="W34" s="152" t="e">
        <f t="shared" si="7"/>
        <v>#N/A</v>
      </c>
      <c r="X34" s="152" t="e">
        <f t="shared" si="7"/>
        <v>#N/A</v>
      </c>
      <c r="Y34" s="152" t="e">
        <f t="shared" si="7"/>
        <v>#N/A</v>
      </c>
      <c r="Z34" s="152" t="e">
        <f t="shared" si="7"/>
        <v>#N/A</v>
      </c>
      <c r="AC34" s="131"/>
      <c r="AD34" s="131"/>
    </row>
    <row r="35" spans="1:45" s="123" customFormat="1" ht="13.2" customHeight="1" thickBot="1" x14ac:dyDescent="0.4">
      <c r="A35" s="245"/>
      <c r="B35" s="245"/>
      <c r="C35" s="246" t="e">
        <f>VLOOKUP(B31,Уч!$A$2:$L$16,12,FALSE)</f>
        <v>#N/A</v>
      </c>
      <c r="D35" s="247"/>
      <c r="E35" s="286" t="s">
        <v>60</v>
      </c>
      <c r="F35" s="249" t="e">
        <f>RANK(F34,$T$16:$T$50,0)</f>
        <v>#N/A</v>
      </c>
      <c r="G35" s="249" t="e">
        <f>RANK(G34,$U$16:$U$50,0)</f>
        <v>#N/A</v>
      </c>
      <c r="H35" s="249" t="e">
        <f>RANK(H34,$V$16:$V$50,0)</f>
        <v>#N/A</v>
      </c>
      <c r="I35" s="249" t="e">
        <f>RANK(I34,$W$16:$W$50,0)</f>
        <v>#N/A</v>
      </c>
      <c r="J35" s="249" t="e">
        <f>RANK(J34,$X$16:$X$50,0)</f>
        <v>#N/A</v>
      </c>
      <c r="K35" s="249" t="e">
        <f>RANK(K34,$Y$16:$Y$50,0)</f>
        <v>#N/A</v>
      </c>
      <c r="L35" s="250" t="e">
        <f>RANK(L34,$Z$16:$Z$50,0)</f>
        <v>#N/A</v>
      </c>
      <c r="M35" s="251"/>
      <c r="N35" s="252"/>
      <c r="O35" s="251"/>
      <c r="P35" s="243">
        <f>B31</f>
        <v>3</v>
      </c>
      <c r="Q35" s="131">
        <f>$A31</f>
        <v>4</v>
      </c>
      <c r="R35" s="131">
        <v>5</v>
      </c>
      <c r="S35" s="131">
        <f>$A31</f>
        <v>4</v>
      </c>
      <c r="T35" s="236"/>
      <c r="U35" s="236"/>
      <c r="V35" s="236"/>
      <c r="W35" s="236"/>
      <c r="X35" s="236"/>
      <c r="Y35" s="236"/>
      <c r="Z35" s="236"/>
      <c r="AC35" s="131"/>
      <c r="AD35" s="131"/>
    </row>
    <row r="36" spans="1:45" s="123" customFormat="1" ht="13.2" customHeight="1" thickTop="1" x14ac:dyDescent="0.35">
      <c r="A36" s="86">
        <v>5</v>
      </c>
      <c r="B36" s="86">
        <v>4</v>
      </c>
      <c r="C36" s="123" t="e">
        <f>VLOOKUP(B36,Уч!$A$2:$L$16,2,FALSE)</f>
        <v>#N/A</v>
      </c>
      <c r="D36" s="231" t="e">
        <f>VLOOKUP(B36,Уч!$A$2:$L$16,3,FALSE)</f>
        <v>#N/A</v>
      </c>
      <c r="E36" s="285" t="s">
        <v>18</v>
      </c>
      <c r="F36" s="233" t="e">
        <f>VLOOKUP($B36,'110 сб '!$C$17:$I$87,5,FALSE)</f>
        <v>#N/A</v>
      </c>
      <c r="G36" s="233" t="e">
        <f>VLOOKUP($B36,высота!$C$17:$AF$42,29,FALSE)</f>
        <v>#N/A</v>
      </c>
      <c r="H36" s="233" t="e">
        <f>VLOOKUP($B36,ядро!$C$17:$K$43,8,FALSE)</f>
        <v>#N/A</v>
      </c>
      <c r="I36" s="233" t="e">
        <f>VLOOKUP($B36,'2_р'!$C$17:$I$68,5,FALSE)</f>
        <v>#N/A</v>
      </c>
      <c r="J36" s="233" t="e">
        <f>VLOOKUP($B36,Дл_р!$C$17:$O$43,11,FALSE)</f>
        <v>#N/A</v>
      </c>
      <c r="K36" s="233" t="e">
        <f>VLOOKUP($B36,К_р!$C$18:$K$31,8,FALSE)</f>
        <v>#N/A</v>
      </c>
      <c r="L36" s="234" t="e">
        <f>VLOOKUP($B36,'8_р'!$C$17:$H$77,5,FALSE)</f>
        <v>#N/A</v>
      </c>
      <c r="M36" s="152" t="e">
        <f>SUM(F38:L38)</f>
        <v>#N/A</v>
      </c>
      <c r="N36" s="86" t="e">
        <f>LOOKUP(M36,R$1:AA$1,R$2:AA$2)</f>
        <v>#N/A</v>
      </c>
      <c r="O36" s="86">
        <v>0</v>
      </c>
      <c r="P36" s="86">
        <f>B36</f>
        <v>4</v>
      </c>
      <c r="Q36" s="131">
        <f>$A36</f>
        <v>5</v>
      </c>
      <c r="R36" s="131">
        <v>1</v>
      </c>
      <c r="S36" s="131">
        <f>$A36</f>
        <v>5</v>
      </c>
      <c r="T36" s="254"/>
      <c r="U36" s="254"/>
      <c r="V36" s="254"/>
      <c r="W36" s="254"/>
      <c r="X36" s="254"/>
      <c r="Y36" s="254"/>
      <c r="Z36" s="254"/>
      <c r="AB36" s="86"/>
      <c r="AC36" s="131" t="e">
        <f>IF(AND(Q36&gt;16,M36&gt;=4600),"1",LOOKUP(Q36,Q$5:AH$5,Q$6:AH$6))</f>
        <v>#N/A</v>
      </c>
      <c r="AD36" s="131" t="e">
        <f>LOOKUP(N36,R$8:W$8,R$9:W$9)</f>
        <v>#N/A</v>
      </c>
    </row>
    <row r="37" spans="1:45" s="123" customFormat="1" ht="13.2" customHeight="1" x14ac:dyDescent="0.35">
      <c r="A37" s="86"/>
      <c r="B37" s="86"/>
      <c r="C37" s="123" t="e">
        <f>VLOOKUP(B36,Уч!$A$2:$L$16,5,FALSE)</f>
        <v>#N/A</v>
      </c>
      <c r="D37" s="255" t="e">
        <f>VLOOKUP(B36,Уч!$A$2:$L$16,4,FALSE)</f>
        <v>#N/A</v>
      </c>
      <c r="E37" s="285" t="s">
        <v>25</v>
      </c>
      <c r="F37" s="238" t="e">
        <f>VLOOKUP($B36,'110 сб '!$C$17:$I$87,6,FALSE)</f>
        <v>#N/A</v>
      </c>
      <c r="G37" s="239"/>
      <c r="H37" s="239"/>
      <c r="I37" s="238" t="e">
        <f>VLOOKUP($B36,'2_р'!$C$17:$I$68,6,FALSE)</f>
        <v>#N/A</v>
      </c>
      <c r="J37" s="238" t="e">
        <f>VLOOKUP($B36,Дл_р!$C$17:$O$43,12,FALSE)</f>
        <v>#N/A</v>
      </c>
      <c r="K37" s="239"/>
      <c r="L37" s="240"/>
      <c r="M37" s="152"/>
      <c r="N37" s="86"/>
      <c r="O37" s="68" t="e">
        <f>CONCATENATE(AC36,"+",AD36,"+",5)</f>
        <v>#N/A</v>
      </c>
      <c r="P37" s="86">
        <f>B36</f>
        <v>4</v>
      </c>
      <c r="Q37" s="131">
        <f>$A36</f>
        <v>5</v>
      </c>
      <c r="R37" s="131">
        <v>2</v>
      </c>
      <c r="S37" s="131">
        <f>$A36</f>
        <v>5</v>
      </c>
      <c r="T37" s="254"/>
      <c r="U37" s="254"/>
      <c r="V37" s="254"/>
      <c r="W37" s="254"/>
      <c r="X37" s="254"/>
      <c r="Y37" s="254"/>
      <c r="Z37" s="254"/>
      <c r="AB37" s="86"/>
      <c r="AC37" s="131"/>
      <c r="AD37" s="131"/>
    </row>
    <row r="38" spans="1:45" s="123" customFormat="1" ht="13.2" customHeight="1" x14ac:dyDescent="0.35">
      <c r="A38" s="86"/>
      <c r="B38" s="86"/>
      <c r="C38" s="241" t="e">
        <f>VLOOKUP(B36,Уч!$A$2:$L$16,7,FALSE)</f>
        <v>#N/A</v>
      </c>
      <c r="D38" s="242"/>
      <c r="E38" s="285" t="s">
        <v>29</v>
      </c>
      <c r="F38" s="243" t="e">
        <f>VLOOKUP($B36,'110 сб '!$C$17:$I$87,7,FALSE)</f>
        <v>#N/A</v>
      </c>
      <c r="G38" s="243" t="e">
        <f>VLOOKUP($B36,высота!$C$17:$AF$42,30,FALSE)</f>
        <v>#N/A</v>
      </c>
      <c r="H38" s="243" t="e">
        <f>VLOOKUP($B36,ядро!$C$17:$K$43,9,FALSE)</f>
        <v>#N/A</v>
      </c>
      <c r="I38" s="243" t="e">
        <f>VLOOKUP($B36,'2_р'!$C$17:$I$68,7,FALSE)</f>
        <v>#N/A</v>
      </c>
      <c r="J38" s="243" t="e">
        <f>VLOOKUP($B36,Дл_р!$C$17:$O$43,13,FALSE)</f>
        <v>#N/A</v>
      </c>
      <c r="K38" s="243" t="e">
        <f>VLOOKUP($B36,К_р!$C$18:$K$31,9,FALSE)</f>
        <v>#N/A</v>
      </c>
      <c r="L38" s="240" t="e">
        <f>VLOOKUP($B36,'8_р'!$C$17:$H$77,6,FALSE)</f>
        <v>#N/A</v>
      </c>
      <c r="M38" s="152"/>
      <c r="N38" s="244"/>
      <c r="O38" s="174"/>
      <c r="P38" s="243">
        <f>B36</f>
        <v>4</v>
      </c>
      <c r="Q38" s="131">
        <f>$A36</f>
        <v>5</v>
      </c>
      <c r="R38" s="131">
        <v>3</v>
      </c>
      <c r="S38" s="131">
        <f>$A36</f>
        <v>5</v>
      </c>
      <c r="T38" s="254"/>
      <c r="U38" s="254"/>
      <c r="V38" s="254"/>
      <c r="W38" s="254"/>
      <c r="X38" s="254"/>
      <c r="Y38" s="254"/>
      <c r="Z38" s="254"/>
      <c r="AB38" s="86"/>
      <c r="AC38" s="131"/>
      <c r="AD38" s="131"/>
    </row>
    <row r="39" spans="1:45" s="123" customFormat="1" ht="13.2" customHeight="1" x14ac:dyDescent="0.35">
      <c r="A39" s="86"/>
      <c r="B39" s="86"/>
      <c r="C39" s="241" t="e">
        <f>VLOOKUP(B36,Уч!$A$2:$L$16,11,FALSE)</f>
        <v>#N/A</v>
      </c>
      <c r="D39" s="131"/>
      <c r="E39" s="285" t="s">
        <v>125</v>
      </c>
      <c r="F39" s="243" t="e">
        <f>F38</f>
        <v>#N/A</v>
      </c>
      <c r="G39" s="243" t="e">
        <f t="shared" ref="G39:L39" si="8">F39+G38</f>
        <v>#N/A</v>
      </c>
      <c r="H39" s="243" t="e">
        <f t="shared" si="8"/>
        <v>#N/A</v>
      </c>
      <c r="I39" s="243" t="e">
        <f t="shared" si="8"/>
        <v>#N/A</v>
      </c>
      <c r="J39" s="243" t="e">
        <f t="shared" si="8"/>
        <v>#N/A</v>
      </c>
      <c r="K39" s="243" t="e">
        <f t="shared" si="8"/>
        <v>#N/A</v>
      </c>
      <c r="L39" s="240" t="e">
        <f t="shared" si="8"/>
        <v>#N/A</v>
      </c>
      <c r="M39" s="152"/>
      <c r="N39" s="244"/>
      <c r="O39" s="174"/>
      <c r="P39" s="243">
        <f>B36</f>
        <v>4</v>
      </c>
      <c r="Q39" s="131">
        <f>$A36</f>
        <v>5</v>
      </c>
      <c r="R39" s="131">
        <v>4</v>
      </c>
      <c r="S39" s="131">
        <f>$A36</f>
        <v>5</v>
      </c>
      <c r="T39" s="152" t="e">
        <f t="shared" ref="T39:Z39" si="9">F39</f>
        <v>#N/A</v>
      </c>
      <c r="U39" s="152" t="e">
        <f t="shared" si="9"/>
        <v>#N/A</v>
      </c>
      <c r="V39" s="152" t="e">
        <f t="shared" si="9"/>
        <v>#N/A</v>
      </c>
      <c r="W39" s="152" t="e">
        <f t="shared" si="9"/>
        <v>#N/A</v>
      </c>
      <c r="X39" s="152" t="e">
        <f t="shared" si="9"/>
        <v>#N/A</v>
      </c>
      <c r="Y39" s="152" t="e">
        <f t="shared" si="9"/>
        <v>#N/A</v>
      </c>
      <c r="Z39" s="152" t="e">
        <f t="shared" si="9"/>
        <v>#N/A</v>
      </c>
      <c r="AB39" s="86"/>
      <c r="AC39" s="131"/>
      <c r="AD39" s="131"/>
    </row>
    <row r="40" spans="1:45" s="123" customFormat="1" ht="13.2" customHeight="1" thickBot="1" x14ac:dyDescent="0.4">
      <c r="A40" s="245"/>
      <c r="B40" s="245"/>
      <c r="C40" s="246" t="e">
        <f>VLOOKUP(B36,Уч!$A$2:$L$16,12,FALSE)</f>
        <v>#N/A</v>
      </c>
      <c r="D40" s="247"/>
      <c r="E40" s="286" t="s">
        <v>60</v>
      </c>
      <c r="F40" s="249" t="e">
        <f>RANK(F39,$T$16:$T$50,0)</f>
        <v>#N/A</v>
      </c>
      <c r="G40" s="249" t="e">
        <f>RANK(G39,$U$16:$U$50,0)</f>
        <v>#N/A</v>
      </c>
      <c r="H40" s="249" t="e">
        <f>RANK(H39,$V$16:$V$50,0)</f>
        <v>#N/A</v>
      </c>
      <c r="I40" s="249" t="e">
        <f>RANK(I39,$W$16:$W$50,0)</f>
        <v>#N/A</v>
      </c>
      <c r="J40" s="249" t="e">
        <f>RANK(J39,$X$16:$X$50,0)</f>
        <v>#N/A</v>
      </c>
      <c r="K40" s="249" t="e">
        <f>RANK(K39,$Y$16:$Y$50,0)</f>
        <v>#N/A</v>
      </c>
      <c r="L40" s="250" t="e">
        <f>RANK(L39,$Z$16:$Z$50,0)</f>
        <v>#N/A</v>
      </c>
      <c r="M40" s="251"/>
      <c r="N40" s="252"/>
      <c r="O40" s="289"/>
      <c r="P40" s="243">
        <f>B36</f>
        <v>4</v>
      </c>
      <c r="Q40" s="131">
        <f>$A36</f>
        <v>5</v>
      </c>
      <c r="R40" s="131">
        <v>5</v>
      </c>
      <c r="S40" s="131">
        <f>$A36</f>
        <v>5</v>
      </c>
      <c r="T40" s="254"/>
      <c r="U40" s="254"/>
      <c r="V40" s="254"/>
      <c r="W40" s="254"/>
      <c r="X40" s="254"/>
      <c r="Y40" s="254"/>
      <c r="Z40" s="254"/>
      <c r="AB40" s="86"/>
      <c r="AC40" s="131"/>
      <c r="AD40" s="131"/>
    </row>
    <row r="41" spans="1:45" s="123" customFormat="1" ht="13.2" customHeight="1" thickTop="1" x14ac:dyDescent="0.35">
      <c r="A41" s="68">
        <v>6</v>
      </c>
      <c r="B41" s="86">
        <v>51</v>
      </c>
      <c r="C41" s="123" t="e">
        <f>VLOOKUP(B41,Уч!$A$2:$L$16,2,FALSE)</f>
        <v>#N/A</v>
      </c>
      <c r="D41" s="231" t="e">
        <f>VLOOKUP(B41,Уч!$A$2:$L$16,3,FALSE)</f>
        <v>#N/A</v>
      </c>
      <c r="E41" s="285" t="s">
        <v>18</v>
      </c>
      <c r="F41" s="233" t="e">
        <f>VLOOKUP($B41,'110 сб '!$C$17:$I$87,5,FALSE)</f>
        <v>#N/A</v>
      </c>
      <c r="G41" s="233" t="e">
        <f>VLOOKUP($B41,высота!$C$17:$AF$42,29,FALSE)</f>
        <v>#N/A</v>
      </c>
      <c r="H41" s="233" t="e">
        <f>VLOOKUP($B41,ядро!$C$17:$K$43,8,FALSE)</f>
        <v>#N/A</v>
      </c>
      <c r="I41" s="233" t="e">
        <f>VLOOKUP($B41,'2_р'!$C$17:$I$68,5,FALSE)</f>
        <v>#N/A</v>
      </c>
      <c r="J41" s="233" t="e">
        <f>VLOOKUP($B41,Дл_р!$C$17:$O$43,11,FALSE)</f>
        <v>#N/A</v>
      </c>
      <c r="K41" s="233" t="e">
        <f>VLOOKUP($B41,К_р!$C$18:$K$31,8,FALSE)</f>
        <v>#N/A</v>
      </c>
      <c r="L41" s="234" t="s">
        <v>96</v>
      </c>
      <c r="M41" s="152" t="e">
        <f>SUM(F43:L43)</f>
        <v>#N/A</v>
      </c>
      <c r="N41" s="68" t="e">
        <f>LOOKUP(M41,R$1:AA$1,R$2:AA$2)</f>
        <v>#N/A</v>
      </c>
      <c r="O41" s="86">
        <v>0</v>
      </c>
      <c r="P41" s="86">
        <f>B41</f>
        <v>51</v>
      </c>
      <c r="Q41" s="131">
        <f>$A41</f>
        <v>6</v>
      </c>
      <c r="R41" s="131">
        <v>1</v>
      </c>
      <c r="S41" s="131">
        <f>$A41</f>
        <v>6</v>
      </c>
      <c r="T41" s="236"/>
      <c r="U41" s="236"/>
      <c r="V41" s="236"/>
      <c r="W41" s="236"/>
      <c r="X41" s="236"/>
      <c r="Y41" s="236"/>
      <c r="Z41" s="236"/>
      <c r="AA41" s="131"/>
      <c r="AB41" s="131"/>
      <c r="AC41" s="131" t="e">
        <f>IF(AND(Q41&gt;16,M41&gt;=4600),"1",LOOKUP(Q41,Q$5:AH$5,Q$6:AH$6))</f>
        <v>#N/A</v>
      </c>
      <c r="AD41" s="131" t="e">
        <f>LOOKUP(N41,R$8:W$8,R$9:W$9)</f>
        <v>#N/A</v>
      </c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</row>
    <row r="42" spans="1:45" s="123" customFormat="1" ht="13.2" customHeight="1" x14ac:dyDescent="0.35">
      <c r="A42" s="68"/>
      <c r="B42" s="86"/>
      <c r="C42" s="123" t="e">
        <f>VLOOKUP(B41,Уч!$A$2:$L$16,5,FALSE)</f>
        <v>#N/A</v>
      </c>
      <c r="D42" s="231" t="e">
        <f>VLOOKUP(B41,Уч!$A$2:$L$16,4,FALSE)</f>
        <v>#N/A</v>
      </c>
      <c r="E42" s="285" t="s">
        <v>25</v>
      </c>
      <c r="F42" s="238" t="e">
        <f>VLOOKUP($B41,'110 сб '!$C$17:$I$87,6,FALSE)</f>
        <v>#N/A</v>
      </c>
      <c r="G42" s="239"/>
      <c r="H42" s="239"/>
      <c r="I42" s="238" t="e">
        <f>VLOOKUP($B41,'2_р'!$C$17:$I$68,6,FALSE)</f>
        <v>#N/A</v>
      </c>
      <c r="J42" s="238" t="e">
        <f>VLOOKUP($B41,Дл_р!$C$17:$O$43,12,FALSE)</f>
        <v>#N/A</v>
      </c>
      <c r="K42" s="239"/>
      <c r="L42" s="240"/>
      <c r="M42" s="152"/>
      <c r="N42" s="68"/>
      <c r="O42" s="68" t="e">
        <f>CONCATENATE(AC41,"+",AD41,"+",5)</f>
        <v>#N/A</v>
      </c>
      <c r="P42" s="86">
        <f>B41</f>
        <v>51</v>
      </c>
      <c r="Q42" s="131">
        <f>$A41</f>
        <v>6</v>
      </c>
      <c r="R42" s="131">
        <v>2</v>
      </c>
      <c r="S42" s="131">
        <f>$A41</f>
        <v>6</v>
      </c>
      <c r="T42" s="236"/>
      <c r="U42" s="236"/>
      <c r="V42" s="236"/>
      <c r="W42" s="236"/>
      <c r="X42" s="236"/>
      <c r="Y42" s="236"/>
      <c r="Z42" s="236"/>
      <c r="AA42" s="88"/>
      <c r="AB42" s="244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</row>
    <row r="43" spans="1:45" s="123" customFormat="1" ht="13.2" customHeight="1" x14ac:dyDescent="0.35">
      <c r="A43" s="68"/>
      <c r="B43" s="86"/>
      <c r="C43" s="241" t="e">
        <f>VLOOKUP(B41,Уч!$A$2:$L$16,7,FALSE)</f>
        <v>#N/A</v>
      </c>
      <c r="D43" s="242"/>
      <c r="E43" s="285" t="s">
        <v>29</v>
      </c>
      <c r="F43" s="243" t="e">
        <f>VLOOKUP($B41,'110 сб '!$C$17:$I$87,7,FALSE)</f>
        <v>#N/A</v>
      </c>
      <c r="G43" s="243" t="e">
        <f>VLOOKUP($B41,высота!$C$17:$AF$42,30,FALSE)</f>
        <v>#N/A</v>
      </c>
      <c r="H43" s="243" t="e">
        <f>VLOOKUP($B41,ядро!$C$17:$K$43,9,FALSE)</f>
        <v>#N/A</v>
      </c>
      <c r="I43" s="243" t="e">
        <f>VLOOKUP($B41,'2_р'!$C$17:$I$68,7,FALSE)</f>
        <v>#N/A</v>
      </c>
      <c r="J43" s="243" t="e">
        <f>VLOOKUP($B41,Дл_р!$C$17:$O$43,13,FALSE)</f>
        <v>#N/A</v>
      </c>
      <c r="K43" s="243" t="e">
        <f>VLOOKUP($B41,К_р!$C$18:$K$31,9,FALSE)</f>
        <v>#N/A</v>
      </c>
      <c r="L43" s="240"/>
      <c r="M43" s="152"/>
      <c r="N43" s="290"/>
      <c r="O43" s="174"/>
      <c r="P43" s="243">
        <f>B41</f>
        <v>51</v>
      </c>
      <c r="Q43" s="131">
        <f>$A41</f>
        <v>6</v>
      </c>
      <c r="R43" s="131">
        <v>3</v>
      </c>
      <c r="S43" s="131">
        <f>$A41</f>
        <v>6</v>
      </c>
      <c r="T43" s="236"/>
      <c r="U43" s="236"/>
      <c r="V43" s="236"/>
      <c r="W43" s="236"/>
      <c r="X43" s="236"/>
      <c r="Y43" s="236"/>
      <c r="Z43" s="236"/>
      <c r="AC43" s="131"/>
      <c r="AD43" s="131"/>
    </row>
    <row r="44" spans="1:45" s="123" customFormat="1" ht="13.2" customHeight="1" x14ac:dyDescent="0.35">
      <c r="A44" s="68"/>
      <c r="B44" s="86"/>
      <c r="C44" s="241" t="e">
        <f>VLOOKUP(B41,Уч!$A$2:$L$16,11,FALSE)</f>
        <v>#N/A</v>
      </c>
      <c r="D44" s="131"/>
      <c r="E44" s="285" t="s">
        <v>125</v>
      </c>
      <c r="F44" s="243" t="e">
        <f>F43</f>
        <v>#N/A</v>
      </c>
      <c r="G44" s="243" t="e">
        <f>F44+G43</f>
        <v>#N/A</v>
      </c>
      <c r="H44" s="243" t="e">
        <f>G44+H43</f>
        <v>#N/A</v>
      </c>
      <c r="I44" s="243" t="e">
        <f>H44+I43</f>
        <v>#N/A</v>
      </c>
      <c r="J44" s="243" t="e">
        <f>I44+J43</f>
        <v>#N/A</v>
      </c>
      <c r="K44" s="243" t="e">
        <f>J44+K43</f>
        <v>#N/A</v>
      </c>
      <c r="L44" s="240"/>
      <c r="M44" s="152"/>
      <c r="N44" s="290"/>
      <c r="O44" s="174"/>
      <c r="P44" s="243">
        <f>B41</f>
        <v>51</v>
      </c>
      <c r="Q44" s="131">
        <f>$A41</f>
        <v>6</v>
      </c>
      <c r="R44" s="131">
        <v>4</v>
      </c>
      <c r="S44" s="131">
        <f>$A41</f>
        <v>6</v>
      </c>
      <c r="T44" s="152" t="e">
        <f t="shared" ref="T44:Z44" si="10">F44</f>
        <v>#N/A</v>
      </c>
      <c r="U44" s="152" t="e">
        <f t="shared" si="10"/>
        <v>#N/A</v>
      </c>
      <c r="V44" s="152" t="e">
        <f t="shared" si="10"/>
        <v>#N/A</v>
      </c>
      <c r="W44" s="152" t="e">
        <f t="shared" si="10"/>
        <v>#N/A</v>
      </c>
      <c r="X44" s="152" t="e">
        <f t="shared" si="10"/>
        <v>#N/A</v>
      </c>
      <c r="Y44" s="152" t="e">
        <f t="shared" si="10"/>
        <v>#N/A</v>
      </c>
      <c r="Z44" s="152">
        <f t="shared" si="10"/>
        <v>0</v>
      </c>
      <c r="AC44" s="131"/>
      <c r="AD44" s="131"/>
    </row>
    <row r="45" spans="1:45" s="123" customFormat="1" ht="13.2" customHeight="1" thickBot="1" x14ac:dyDescent="0.4">
      <c r="A45" s="291"/>
      <c r="B45" s="245"/>
      <c r="C45" s="246" t="e">
        <f>VLOOKUP(B41,Уч!$A$2:$L$16,12,FALSE)</f>
        <v>#N/A</v>
      </c>
      <c r="D45" s="247"/>
      <c r="E45" s="286" t="s">
        <v>60</v>
      </c>
      <c r="F45" s="249" t="e">
        <f>RANK(F44,$T$16:$T$50,0)</f>
        <v>#N/A</v>
      </c>
      <c r="G45" s="249" t="e">
        <f>RANK(G44,$U$16:$U$50,0)</f>
        <v>#N/A</v>
      </c>
      <c r="H45" s="249" t="e">
        <f>RANK(H44,$V$16:$V$50,0)</f>
        <v>#N/A</v>
      </c>
      <c r="I45" s="249" t="e">
        <f>RANK(I44,$W$16:$W$50,0)</f>
        <v>#N/A</v>
      </c>
      <c r="J45" s="249" t="e">
        <f>RANK(J44,$X$16:$X$50,0)</f>
        <v>#N/A</v>
      </c>
      <c r="K45" s="249" t="e">
        <f>RANK(K44,$Y$16:$Y$50,0)</f>
        <v>#N/A</v>
      </c>
      <c r="L45" s="250"/>
      <c r="M45" s="251"/>
      <c r="N45" s="292"/>
      <c r="O45" s="289"/>
      <c r="P45" s="243">
        <f>B41</f>
        <v>51</v>
      </c>
      <c r="Q45" s="131">
        <f>$A41</f>
        <v>6</v>
      </c>
      <c r="R45" s="131">
        <v>5</v>
      </c>
      <c r="S45" s="131">
        <f>$A41</f>
        <v>6</v>
      </c>
      <c r="T45" s="236"/>
      <c r="U45" s="236"/>
      <c r="V45" s="236"/>
      <c r="W45" s="236"/>
      <c r="X45" s="236"/>
      <c r="Y45" s="236"/>
      <c r="Z45" s="236"/>
      <c r="AC45" s="131"/>
      <c r="AD45" s="131"/>
    </row>
    <row r="46" spans="1:45" s="123" customFormat="1" ht="13.2" customHeight="1" thickTop="1" x14ac:dyDescent="0.35">
      <c r="A46" s="68" t="e">
        <f>RANK(M46,$M$16:$M$50,0)</f>
        <v>#N/A</v>
      </c>
      <c r="B46" s="86">
        <v>59</v>
      </c>
      <c r="C46" s="123" t="e">
        <f>VLOOKUP(B46,Уч!$A$2:$L$16,2,FALSE)</f>
        <v>#N/A</v>
      </c>
      <c r="D46" s="231" t="e">
        <f>VLOOKUP(B46,Уч!$A$2:$L$16,3,FALSE)</f>
        <v>#N/A</v>
      </c>
      <c r="E46" s="285" t="s">
        <v>18</v>
      </c>
      <c r="F46" s="233" t="e">
        <f>VLOOKUP($B46,'110 сб '!$C$17:$I$87,5,FALSE)</f>
        <v>#N/A</v>
      </c>
      <c r="G46" s="233" t="e">
        <f>VLOOKUP($B46,высота!$C$17:$AF$42,29,FALSE)</f>
        <v>#N/A</v>
      </c>
      <c r="H46" s="233" t="e">
        <f>VLOOKUP($B46,ядро!$C$17:$K$43,8,FALSE)</f>
        <v>#N/A</v>
      </c>
      <c r="I46" s="233" t="e">
        <f>VLOOKUP($B46,'2_р'!$C$17:$I$68,5,FALSE)</f>
        <v>#N/A</v>
      </c>
      <c r="J46" s="288" t="s">
        <v>96</v>
      </c>
      <c r="K46" s="233"/>
      <c r="L46" s="234"/>
      <c r="M46" s="152" t="e">
        <f>SUM(F48:L48)</f>
        <v>#N/A</v>
      </c>
      <c r="N46" s="68" t="e">
        <f>LOOKUP(M46,R$1:AA$1,R$2:AA$2)</f>
        <v>#N/A</v>
      </c>
      <c r="O46" s="86">
        <v>0</v>
      </c>
      <c r="P46" s="86">
        <f>B46</f>
        <v>59</v>
      </c>
      <c r="Q46" s="131" t="e">
        <f>$A46</f>
        <v>#N/A</v>
      </c>
      <c r="R46" s="131">
        <v>1</v>
      </c>
      <c r="S46" s="131" t="e">
        <f>$A46</f>
        <v>#N/A</v>
      </c>
      <c r="T46" s="254"/>
      <c r="U46" s="254"/>
      <c r="V46" s="254"/>
      <c r="W46" s="254"/>
      <c r="X46" s="254"/>
      <c r="Y46" s="254"/>
      <c r="Z46" s="254"/>
      <c r="AA46" s="131"/>
      <c r="AC46" s="131" t="e">
        <f>IF(AND(Q46&gt;16,M46&gt;=4600),"1",LOOKUP(Q46,Q$5:AH$5,Q$6:AH$6))</f>
        <v>#N/A</v>
      </c>
      <c r="AD46" s="131" t="e">
        <f>LOOKUP(N46,R$8:W$8,R$9:W$9)</f>
        <v>#N/A</v>
      </c>
    </row>
    <row r="47" spans="1:45" s="123" customFormat="1" ht="13.2" customHeight="1" x14ac:dyDescent="0.35">
      <c r="A47" s="86"/>
      <c r="B47" s="86"/>
      <c r="C47" s="123" t="e">
        <f>VLOOKUP(B46,Уч!$A$2:$L$16,5,FALSE)</f>
        <v>#N/A</v>
      </c>
      <c r="D47" s="231" t="e">
        <f>VLOOKUP(B46,Уч!$A$2:$L$16,4,FALSE)</f>
        <v>#N/A</v>
      </c>
      <c r="E47" s="285" t="s">
        <v>25</v>
      </c>
      <c r="F47" s="238" t="e">
        <f>VLOOKUP($B46,'110 сб '!$C$17:$I$87,6,FALSE)</f>
        <v>#N/A</v>
      </c>
      <c r="G47" s="239"/>
      <c r="H47" s="239"/>
      <c r="I47" s="238" t="e">
        <f>VLOOKUP($B46,'2_р'!$C$17:$I$68,6,FALSE)</f>
        <v>#N/A</v>
      </c>
      <c r="J47" s="238"/>
      <c r="K47" s="239"/>
      <c r="L47" s="240"/>
      <c r="M47" s="152"/>
      <c r="N47" s="68"/>
      <c r="O47" s="68" t="e">
        <f>CONCATENATE(AC46,"+",AD46,"+",5)</f>
        <v>#N/A</v>
      </c>
      <c r="P47" s="86">
        <f>B46</f>
        <v>59</v>
      </c>
      <c r="Q47" s="131" t="e">
        <f>$A46</f>
        <v>#N/A</v>
      </c>
      <c r="R47" s="131">
        <v>2</v>
      </c>
      <c r="S47" s="131" t="e">
        <f>$A46</f>
        <v>#N/A</v>
      </c>
      <c r="T47" s="254"/>
      <c r="U47" s="254"/>
      <c r="V47" s="254"/>
      <c r="W47" s="254"/>
      <c r="X47" s="254"/>
      <c r="Y47" s="254"/>
      <c r="Z47" s="254"/>
      <c r="AA47" s="131"/>
      <c r="AC47" s="131"/>
      <c r="AD47" s="131"/>
    </row>
    <row r="48" spans="1:45" s="123" customFormat="1" ht="13.2" customHeight="1" x14ac:dyDescent="0.35">
      <c r="A48" s="86"/>
      <c r="B48" s="86"/>
      <c r="C48" s="241" t="e">
        <f>VLOOKUP(B46,Уч!$A$2:$L$16,7,FALSE)</f>
        <v>#N/A</v>
      </c>
      <c r="D48" s="242"/>
      <c r="E48" s="285" t="s">
        <v>29</v>
      </c>
      <c r="F48" s="243" t="e">
        <f>VLOOKUP($B46,'110 сб '!$C$17:$I$87,7,FALSE)</f>
        <v>#N/A</v>
      </c>
      <c r="G48" s="243" t="e">
        <f>VLOOKUP($B46,высота!$C$17:$AF$42,30,FALSE)</f>
        <v>#N/A</v>
      </c>
      <c r="H48" s="243" t="e">
        <f>VLOOKUP($B46,ядро!$C$17:$K$43,9,FALSE)</f>
        <v>#N/A</v>
      </c>
      <c r="I48" s="243" t="e">
        <f>VLOOKUP($B46,'2_р'!$C$17:$I$68,7,FALSE)</f>
        <v>#N/A</v>
      </c>
      <c r="J48" s="243"/>
      <c r="K48" s="243"/>
      <c r="L48" s="240"/>
      <c r="M48" s="152"/>
      <c r="N48" s="290"/>
      <c r="O48" s="174"/>
      <c r="P48" s="243">
        <f>B46</f>
        <v>59</v>
      </c>
      <c r="Q48" s="131" t="e">
        <f>$A46</f>
        <v>#N/A</v>
      </c>
      <c r="R48" s="131">
        <v>3</v>
      </c>
      <c r="S48" s="131" t="e">
        <f>$A46</f>
        <v>#N/A</v>
      </c>
      <c r="T48" s="254"/>
      <c r="U48" s="254"/>
      <c r="V48" s="254"/>
      <c r="W48" s="254"/>
      <c r="X48" s="254"/>
      <c r="Y48" s="254"/>
      <c r="Z48" s="254"/>
      <c r="AA48" s="131"/>
      <c r="AC48" s="131"/>
      <c r="AD48" s="131"/>
    </row>
    <row r="49" spans="1:30" s="123" customFormat="1" ht="13.2" customHeight="1" x14ac:dyDescent="0.35">
      <c r="A49" s="86"/>
      <c r="B49" s="86"/>
      <c r="C49" s="241" t="e">
        <f>VLOOKUP(B46,Уч!$A$2:$L$16,11,FALSE)</f>
        <v>#N/A</v>
      </c>
      <c r="D49" s="131"/>
      <c r="E49" s="285" t="s">
        <v>125</v>
      </c>
      <c r="F49" s="243" t="e">
        <f>F48</f>
        <v>#N/A</v>
      </c>
      <c r="G49" s="243" t="e">
        <f>F49+G48</f>
        <v>#N/A</v>
      </c>
      <c r="H49" s="243" t="e">
        <f>G49+H48</f>
        <v>#N/A</v>
      </c>
      <c r="I49" s="243" t="e">
        <f>H49+I48</f>
        <v>#N/A</v>
      </c>
      <c r="J49" s="243"/>
      <c r="K49" s="243"/>
      <c r="L49" s="240"/>
      <c r="M49" s="152"/>
      <c r="N49" s="290"/>
      <c r="O49" s="174"/>
      <c r="P49" s="243">
        <f>B46</f>
        <v>59</v>
      </c>
      <c r="Q49" s="131" t="e">
        <f>$A46</f>
        <v>#N/A</v>
      </c>
      <c r="R49" s="131">
        <v>4</v>
      </c>
      <c r="S49" s="131" t="e">
        <f>$A46</f>
        <v>#N/A</v>
      </c>
      <c r="T49" s="152" t="e">
        <f t="shared" ref="T49:Z49" si="11">F49</f>
        <v>#N/A</v>
      </c>
      <c r="U49" s="152" t="e">
        <f t="shared" si="11"/>
        <v>#N/A</v>
      </c>
      <c r="V49" s="152" t="e">
        <f t="shared" si="11"/>
        <v>#N/A</v>
      </c>
      <c r="W49" s="152" t="e">
        <f t="shared" si="11"/>
        <v>#N/A</v>
      </c>
      <c r="X49" s="152">
        <f t="shared" si="11"/>
        <v>0</v>
      </c>
      <c r="Y49" s="152">
        <f t="shared" si="11"/>
        <v>0</v>
      </c>
      <c r="Z49" s="152">
        <f t="shared" si="11"/>
        <v>0</v>
      </c>
      <c r="AA49" s="131"/>
      <c r="AC49" s="131"/>
      <c r="AD49" s="131"/>
    </row>
    <row r="50" spans="1:30" s="123" customFormat="1" ht="13.2" customHeight="1" thickBot="1" x14ac:dyDescent="0.4">
      <c r="A50" s="245"/>
      <c r="B50" s="245"/>
      <c r="C50" s="246" t="e">
        <f>VLOOKUP(B46,Уч!$A$2:$L$16,12,FALSE)</f>
        <v>#N/A</v>
      </c>
      <c r="D50" s="247"/>
      <c r="E50" s="286" t="s">
        <v>60</v>
      </c>
      <c r="F50" s="249" t="e">
        <f>RANK(F49,$T$16:$T$50,0)</f>
        <v>#N/A</v>
      </c>
      <c r="G50" s="249" t="e">
        <f>RANK(G49,$U$16:$U$50,0)</f>
        <v>#N/A</v>
      </c>
      <c r="H50" s="249" t="e">
        <f>RANK(H49,$V$16:$V$50,0)</f>
        <v>#N/A</v>
      </c>
      <c r="I50" s="249" t="e">
        <f>RANK(I49,$W$16:$W$50,0)</f>
        <v>#N/A</v>
      </c>
      <c r="J50" s="249"/>
      <c r="K50" s="249"/>
      <c r="L50" s="250"/>
      <c r="M50" s="251"/>
      <c r="N50" s="292"/>
      <c r="O50" s="289"/>
      <c r="P50" s="243">
        <f>B46</f>
        <v>59</v>
      </c>
      <c r="Q50" s="131" t="e">
        <f>$A46</f>
        <v>#N/A</v>
      </c>
      <c r="R50" s="131">
        <v>5</v>
      </c>
      <c r="S50" s="131" t="e">
        <f>$A46</f>
        <v>#N/A</v>
      </c>
      <c r="T50" s="254"/>
      <c r="U50" s="254"/>
      <c r="V50" s="254"/>
      <c r="W50" s="254"/>
      <c r="X50" s="254"/>
      <c r="Y50" s="254"/>
      <c r="Z50" s="254"/>
      <c r="AA50" s="131"/>
      <c r="AC50" s="131"/>
      <c r="AD50" s="131"/>
    </row>
    <row r="51" spans="1:30" s="123" customFormat="1" ht="13.2" customHeight="1" thickTop="1" x14ac:dyDescent="0.35">
      <c r="A51" s="86" t="e">
        <f>RANK(M51,$M$16:$M$50,0)</f>
        <v>#N/A</v>
      </c>
      <c r="B51" s="86">
        <v>1362</v>
      </c>
      <c r="C51" s="123" t="e">
        <f>VLOOKUP(B51,Уч!$A$2:$L$16,2,FALSE)</f>
        <v>#N/A</v>
      </c>
      <c r="D51" s="231" t="e">
        <f>VLOOKUP(B51,Уч!$A$2:$L$16,3,FALSE)</f>
        <v>#N/A</v>
      </c>
      <c r="E51" s="232" t="s">
        <v>28</v>
      </c>
      <c r="F51" s="233" t="e">
        <f>VLOOKUP($B51,'110 сб '!$C$17:$I$87,5,FALSE)</f>
        <v>#N/A</v>
      </c>
      <c r="G51" s="233" t="e">
        <f>VLOOKUP($B51,высота!$C$17:$AF$42,29,FALSE)</f>
        <v>#N/A</v>
      </c>
      <c r="H51" s="233" t="e">
        <f>VLOOKUP($B51,ядро!$C$17:$K$43,8,FALSE)</f>
        <v>#N/A</v>
      </c>
      <c r="I51" s="233" t="e">
        <f>VLOOKUP($B51,'2_р'!$C$17:$I$68,5,FALSE)</f>
        <v>#N/A</v>
      </c>
      <c r="J51" s="233" t="e">
        <f>VLOOKUP($B51,Дл_р!$C$17:$O$43,11,FALSE)</f>
        <v>#N/A</v>
      </c>
      <c r="K51" s="233" t="e">
        <f>VLOOKUP($B51,К_р!$C$18:$K$31,8,FALSE)</f>
        <v>#N/A</v>
      </c>
      <c r="L51" s="234">
        <f>VLOOKUP($B51,'8_р'!$C$17:$H$77,5,FALSE)</f>
        <v>0</v>
      </c>
      <c r="M51" s="152" t="e">
        <f>SUM(F53:L53)</f>
        <v>#N/A</v>
      </c>
      <c r="N51" s="86" t="e">
        <f>LOOKUP(M51,R$1:AA$1,R$2:AA$2)</f>
        <v>#N/A</v>
      </c>
      <c r="O51" s="86" t="e">
        <f>AC51+AD51+5</f>
        <v>#N/A</v>
      </c>
      <c r="P51" s="86">
        <f>B51</f>
        <v>1362</v>
      </c>
      <c r="Q51" s="131" t="e">
        <f>$A51</f>
        <v>#N/A</v>
      </c>
      <c r="R51" s="131">
        <v>1</v>
      </c>
      <c r="S51" s="131" t="e">
        <f>$A51</f>
        <v>#N/A</v>
      </c>
      <c r="T51" s="236"/>
      <c r="U51" s="236"/>
      <c r="V51" s="236"/>
      <c r="W51" s="236"/>
      <c r="X51" s="236"/>
      <c r="Y51" s="236"/>
      <c r="Z51" s="236"/>
      <c r="AB51" s="86"/>
      <c r="AC51" s="131" t="e">
        <f>IF(AND(Q51&gt;16,M51&gt;=4600),"1",LOOKUP(Q51,Q$5:AH$5,Q$6:AH$6))</f>
        <v>#N/A</v>
      </c>
      <c r="AD51" s="131" t="e">
        <f>LOOKUP(N51,R$8:W$8,R$9:W$9)</f>
        <v>#N/A</v>
      </c>
    </row>
    <row r="52" spans="1:30" s="123" customFormat="1" ht="13.2" customHeight="1" x14ac:dyDescent="0.35">
      <c r="A52" s="86"/>
      <c r="B52" s="86"/>
      <c r="C52" s="123" t="e">
        <f>VLOOKUP(B51,Уч!$A$2:$L$16,5,FALSE)</f>
        <v>#N/A</v>
      </c>
      <c r="D52" s="231" t="e">
        <f>VLOOKUP(B51,Уч!$A$2:$L$16,4,FALSE)</f>
        <v>#N/A</v>
      </c>
      <c r="E52" s="237" t="s">
        <v>79</v>
      </c>
      <c r="F52" s="238" t="e">
        <f>VLOOKUP($B51,'110 сб '!$C$17:$I$87,6,FALSE)</f>
        <v>#N/A</v>
      </c>
      <c r="G52" s="239"/>
      <c r="H52" s="239"/>
      <c r="I52" s="238" t="e">
        <f>VLOOKUP($B51,'2_р'!$C$17:$I$68,6,FALSE)</f>
        <v>#N/A</v>
      </c>
      <c r="J52" s="238" t="e">
        <f>VLOOKUP($B51,Дл_р!$C$17:$O$43,12,FALSE)</f>
        <v>#N/A</v>
      </c>
      <c r="K52" s="239"/>
      <c r="L52" s="240"/>
      <c r="M52" s="152"/>
      <c r="N52" s="86"/>
      <c r="O52" s="86" t="e">
        <f>CONCATENATE(AC51,"+",AD51,"+",5)</f>
        <v>#N/A</v>
      </c>
      <c r="P52" s="86">
        <f>B51</f>
        <v>1362</v>
      </c>
      <c r="Q52" s="131" t="e">
        <f>$A51</f>
        <v>#N/A</v>
      </c>
      <c r="R52" s="131">
        <v>2</v>
      </c>
      <c r="S52" s="131" t="e">
        <f>$A51</f>
        <v>#N/A</v>
      </c>
      <c r="T52" s="236"/>
      <c r="U52" s="236"/>
      <c r="V52" s="236"/>
      <c r="W52" s="236"/>
      <c r="X52" s="236"/>
      <c r="Y52" s="236"/>
      <c r="Z52" s="236"/>
      <c r="AB52" s="86"/>
      <c r="AC52" s="131"/>
      <c r="AD52" s="131"/>
    </row>
    <row r="53" spans="1:30" s="123" customFormat="1" ht="13.2" customHeight="1" x14ac:dyDescent="0.35">
      <c r="A53" s="86"/>
      <c r="B53" s="86"/>
      <c r="C53" s="241" t="e">
        <f>VLOOKUP(B51,Уч!$A$2:$L$16,7,FALSE)</f>
        <v>#N/A</v>
      </c>
      <c r="D53" s="242"/>
      <c r="E53" s="237" t="s">
        <v>70</v>
      </c>
      <c r="F53" s="243" t="e">
        <f>VLOOKUP($B51,'110 сб '!$C$17:$I$87,7,FALSE)</f>
        <v>#N/A</v>
      </c>
      <c r="G53" s="243" t="e">
        <f>VLOOKUP($B51,высота!$C$17:$AF$42,30,FALSE)</f>
        <v>#N/A</v>
      </c>
      <c r="H53" s="243" t="e">
        <f>VLOOKUP($B51,ядро!$C$17:$K$43,9,FALSE)</f>
        <v>#N/A</v>
      </c>
      <c r="I53" s="243" t="e">
        <f>VLOOKUP($B51,'2_р'!$C$17:$I$68,7,FALSE)</f>
        <v>#N/A</v>
      </c>
      <c r="J53" s="243" t="e">
        <f>VLOOKUP($B51,Дл_р!$C$17:$O$43,13,FALSE)</f>
        <v>#N/A</v>
      </c>
      <c r="K53" s="243" t="e">
        <f>VLOOKUP($B51,К_р!$C$18:$K$31,9,FALSE)</f>
        <v>#N/A</v>
      </c>
      <c r="L53" s="240">
        <f>VLOOKUP($B51,'8_р'!$C$17:$H$77,6,FALSE)</f>
        <v>0</v>
      </c>
      <c r="M53" s="152"/>
      <c r="N53" s="244"/>
      <c r="O53" s="152"/>
      <c r="P53" s="243">
        <f>B51</f>
        <v>1362</v>
      </c>
      <c r="Q53" s="131" t="e">
        <f>$A51</f>
        <v>#N/A</v>
      </c>
      <c r="R53" s="131">
        <v>3</v>
      </c>
      <c r="S53" s="131" t="e">
        <f>$A51</f>
        <v>#N/A</v>
      </c>
      <c r="T53" s="236"/>
      <c r="U53" s="236"/>
      <c r="V53" s="236"/>
      <c r="W53" s="236"/>
      <c r="X53" s="236"/>
      <c r="Y53" s="236"/>
      <c r="Z53" s="236"/>
      <c r="AB53" s="86"/>
      <c r="AC53" s="131"/>
      <c r="AD53" s="131"/>
    </row>
    <row r="54" spans="1:30" s="123" customFormat="1" ht="13.2" customHeight="1" x14ac:dyDescent="0.35">
      <c r="A54" s="86"/>
      <c r="B54" s="86"/>
      <c r="C54" s="241" t="e">
        <f>VLOOKUP(B51,Уч!$A$2:$L$16,11,FALSE)</f>
        <v>#N/A</v>
      </c>
      <c r="D54" s="131"/>
      <c r="E54" s="237" t="s">
        <v>77</v>
      </c>
      <c r="F54" s="243" t="e">
        <f>F53</f>
        <v>#N/A</v>
      </c>
      <c r="G54" s="243" t="e">
        <f t="shared" ref="G54:L54" si="12">F54+G53</f>
        <v>#N/A</v>
      </c>
      <c r="H54" s="243" t="e">
        <f t="shared" si="12"/>
        <v>#N/A</v>
      </c>
      <c r="I54" s="243" t="e">
        <f t="shared" si="12"/>
        <v>#N/A</v>
      </c>
      <c r="J54" s="243" t="e">
        <f t="shared" si="12"/>
        <v>#N/A</v>
      </c>
      <c r="K54" s="243" t="e">
        <f t="shared" si="12"/>
        <v>#N/A</v>
      </c>
      <c r="L54" s="240" t="e">
        <f t="shared" si="12"/>
        <v>#N/A</v>
      </c>
      <c r="M54" s="152"/>
      <c r="N54" s="244"/>
      <c r="O54" s="152"/>
      <c r="P54" s="243">
        <f>B51</f>
        <v>1362</v>
      </c>
      <c r="Q54" s="131" t="e">
        <f>$A51</f>
        <v>#N/A</v>
      </c>
      <c r="R54" s="131">
        <v>4</v>
      </c>
      <c r="S54" s="131" t="e">
        <f>$A51</f>
        <v>#N/A</v>
      </c>
      <c r="T54" s="152" t="e">
        <f t="shared" ref="T54:Z54" si="13">F54</f>
        <v>#N/A</v>
      </c>
      <c r="U54" s="152" t="e">
        <f t="shared" si="13"/>
        <v>#N/A</v>
      </c>
      <c r="V54" s="152" t="e">
        <f t="shared" si="13"/>
        <v>#N/A</v>
      </c>
      <c r="W54" s="152" t="e">
        <f t="shared" si="13"/>
        <v>#N/A</v>
      </c>
      <c r="X54" s="152" t="e">
        <f t="shared" si="13"/>
        <v>#N/A</v>
      </c>
      <c r="Y54" s="152" t="e">
        <f t="shared" si="13"/>
        <v>#N/A</v>
      </c>
      <c r="Z54" s="152" t="e">
        <f t="shared" si="13"/>
        <v>#N/A</v>
      </c>
      <c r="AB54" s="86"/>
      <c r="AC54" s="131"/>
      <c r="AD54" s="131"/>
    </row>
    <row r="55" spans="1:30" s="123" customFormat="1" ht="13.2" customHeight="1" thickBot="1" x14ac:dyDescent="0.4">
      <c r="A55" s="245"/>
      <c r="B55" s="245"/>
      <c r="C55" s="246" t="e">
        <f>VLOOKUP(B51,Уч!$A$2:$L$16,12,FALSE)</f>
        <v>#N/A</v>
      </c>
      <c r="D55" s="247"/>
      <c r="E55" s="248" t="s">
        <v>37</v>
      </c>
      <c r="F55" s="249" t="e">
        <f>RANK(F54,$T$16:$T$50,0)</f>
        <v>#N/A</v>
      </c>
      <c r="G55" s="249" t="e">
        <f>RANK(G54,$U$16:$U$50,0)</f>
        <v>#N/A</v>
      </c>
      <c r="H55" s="249" t="e">
        <f>RANK(H54,$V$16:$V$50,0)</f>
        <v>#N/A</v>
      </c>
      <c r="I55" s="249" t="e">
        <f>RANK(I54,$W$16:$W$50,0)</f>
        <v>#N/A</v>
      </c>
      <c r="J55" s="249" t="e">
        <f>RANK(J54,$X$16:$X$50,0)</f>
        <v>#N/A</v>
      </c>
      <c r="K55" s="249" t="e">
        <f>RANK(K54,$Y$16:$Y$50,0)</f>
        <v>#N/A</v>
      </c>
      <c r="L55" s="250" t="e">
        <f>RANK(L54,$Z$16:$Z$50,0)</f>
        <v>#N/A</v>
      </c>
      <c r="M55" s="251"/>
      <c r="N55" s="252"/>
      <c r="O55" s="251"/>
      <c r="P55" s="243">
        <f>B51</f>
        <v>1362</v>
      </c>
      <c r="Q55" s="131" t="e">
        <f>$A51</f>
        <v>#N/A</v>
      </c>
      <c r="R55" s="131">
        <v>5</v>
      </c>
      <c r="S55" s="131" t="e">
        <f>$A51</f>
        <v>#N/A</v>
      </c>
      <c r="T55" s="236"/>
      <c r="U55" s="236"/>
      <c r="V55" s="236"/>
      <c r="W55" s="236"/>
      <c r="X55" s="236"/>
      <c r="Y55" s="236"/>
      <c r="Z55" s="236"/>
      <c r="AB55" s="86"/>
      <c r="AC55" s="131"/>
      <c r="AD55" s="131"/>
    </row>
    <row r="56" spans="1:30" s="123" customFormat="1" ht="13.2" customHeight="1" thickTop="1" x14ac:dyDescent="0.35">
      <c r="A56" s="86" t="e">
        <f>RANK(M56,$M$16:$M$50,0)</f>
        <v>#N/A</v>
      </c>
      <c r="B56" s="86">
        <v>1363</v>
      </c>
      <c r="C56" s="123" t="e">
        <f>VLOOKUP(B56,Уч!$A$2:$L$16,2,FALSE)</f>
        <v>#N/A</v>
      </c>
      <c r="D56" s="231" t="e">
        <f>VLOOKUP(B56,Уч!$A$2:$L$16,3,FALSE)</f>
        <v>#N/A</v>
      </c>
      <c r="E56" s="232" t="s">
        <v>28</v>
      </c>
      <c r="F56" s="233" t="e">
        <f>VLOOKUP($B56,'110 сб '!$C$17:$I$87,5,FALSE)</f>
        <v>#N/A</v>
      </c>
      <c r="G56" s="233" t="e">
        <f>VLOOKUP($B56,высота!$C$17:$AF$42,29,FALSE)</f>
        <v>#N/A</v>
      </c>
      <c r="H56" s="233" t="e">
        <f>VLOOKUP($B56,ядро!$C$17:$K$43,8,FALSE)</f>
        <v>#N/A</v>
      </c>
      <c r="I56" s="233" t="e">
        <f>VLOOKUP($B56,'2_р'!$C$17:$I$68,5,FALSE)</f>
        <v>#N/A</v>
      </c>
      <c r="J56" s="233" t="e">
        <f>VLOOKUP($B56,Дл_р!$C$17:$O$43,11,FALSE)</f>
        <v>#N/A</v>
      </c>
      <c r="K56" s="233" t="e">
        <f>VLOOKUP($B56,К_р!$C$18:$K$31,8,FALSE)</f>
        <v>#N/A</v>
      </c>
      <c r="L56" s="234" t="e">
        <f>VLOOKUP($B56,'8_р'!$C$17:$H$77,5,FALSE)</f>
        <v>#N/A</v>
      </c>
      <c r="M56" s="15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1363</v>
      </c>
      <c r="Q56" s="131" t="e">
        <f>$A56</f>
        <v>#N/A</v>
      </c>
      <c r="R56" s="131">
        <v>1</v>
      </c>
      <c r="S56" s="131" t="e">
        <f>$A56</f>
        <v>#N/A</v>
      </c>
      <c r="T56" s="236"/>
      <c r="U56" s="236"/>
      <c r="V56" s="236"/>
      <c r="W56" s="236"/>
      <c r="X56" s="236"/>
      <c r="Y56" s="236"/>
      <c r="Z56" s="236"/>
      <c r="AB56" s="86"/>
      <c r="AC56" s="131" t="e">
        <f>IF(AND(Q56&gt;16,M56&gt;=4600),"1",LOOKUP(Q56,Q$5:AH$5,Q$6:AH$6))</f>
        <v>#N/A</v>
      </c>
      <c r="AD56" s="131" t="e">
        <f>LOOKUP(N56,R$8:W$8,R$9:W$9)</f>
        <v>#N/A</v>
      </c>
    </row>
    <row r="57" spans="1:30" s="123" customFormat="1" ht="13.2" customHeight="1" x14ac:dyDescent="0.35">
      <c r="A57" s="86"/>
      <c r="B57" s="86"/>
      <c r="C57" s="123" t="e">
        <f>VLOOKUP(B56,Уч!$A$2:$L$16,5,FALSE)</f>
        <v>#N/A</v>
      </c>
      <c r="D57" s="231" t="e">
        <f>VLOOKUP(B56,Уч!$A$2:$L$16,4,FALSE)</f>
        <v>#N/A</v>
      </c>
      <c r="E57" s="237" t="s">
        <v>79</v>
      </c>
      <c r="F57" s="238" t="e">
        <f>VLOOKUP($B56,'110 сб '!$C$17:$I$87,6,FALSE)</f>
        <v>#N/A</v>
      </c>
      <c r="G57" s="239"/>
      <c r="H57" s="239"/>
      <c r="I57" s="238" t="e">
        <f>VLOOKUP($B56,'2_р'!$C$17:$I$68,6,FALSE)</f>
        <v>#N/A</v>
      </c>
      <c r="J57" s="238" t="e">
        <f>VLOOKUP($B56,Дл_р!$C$17:$O$43,12,FALSE)</f>
        <v>#N/A</v>
      </c>
      <c r="K57" s="239"/>
      <c r="L57" s="240"/>
      <c r="M57" s="152"/>
      <c r="N57" s="86"/>
      <c r="O57" s="86" t="e">
        <f>CONCATENATE(AC56,"+",AD56,"+",5)</f>
        <v>#N/A</v>
      </c>
      <c r="P57" s="86">
        <f>B56</f>
        <v>1363</v>
      </c>
      <c r="Q57" s="131" t="e">
        <f>$A56</f>
        <v>#N/A</v>
      </c>
      <c r="R57" s="131">
        <v>2</v>
      </c>
      <c r="S57" s="131" t="e">
        <f>$A56</f>
        <v>#N/A</v>
      </c>
      <c r="T57" s="236"/>
      <c r="U57" s="236"/>
      <c r="V57" s="236"/>
      <c r="W57" s="236"/>
      <c r="X57" s="236"/>
      <c r="Y57" s="236"/>
      <c r="Z57" s="236"/>
      <c r="AB57" s="86"/>
      <c r="AC57" s="131"/>
      <c r="AD57" s="131"/>
    </row>
    <row r="58" spans="1:30" s="123" customFormat="1" ht="13.2" customHeight="1" x14ac:dyDescent="0.35">
      <c r="A58" s="86"/>
      <c r="B58" s="86"/>
      <c r="C58" s="241" t="e">
        <f>VLOOKUP(B56,Уч!$A$2:$L$16,7,FALSE)</f>
        <v>#N/A</v>
      </c>
      <c r="D58" s="242"/>
      <c r="E58" s="237" t="s">
        <v>70</v>
      </c>
      <c r="F58" s="243" t="e">
        <f>VLOOKUP($B56,'110 сб '!$C$17:$I$87,7,FALSE)</f>
        <v>#N/A</v>
      </c>
      <c r="G58" s="243" t="e">
        <f>VLOOKUP($B56,высота!$C$17:$AF$42,30,FALSE)</f>
        <v>#N/A</v>
      </c>
      <c r="H58" s="243" t="e">
        <f>VLOOKUP($B56,ядро!$C$17:$K$43,9,FALSE)</f>
        <v>#N/A</v>
      </c>
      <c r="I58" s="243" t="e">
        <f>VLOOKUP($B56,'2_р'!$C$17:$I$68,7,FALSE)</f>
        <v>#N/A</v>
      </c>
      <c r="J58" s="243" t="e">
        <f>VLOOKUP($B56,Дл_р!$C$17:$O$43,13,FALSE)</f>
        <v>#N/A</v>
      </c>
      <c r="K58" s="243" t="e">
        <f>VLOOKUP($B56,К_р!$C$18:$K$31,9,FALSE)</f>
        <v>#N/A</v>
      </c>
      <c r="L58" s="240" t="e">
        <f>VLOOKUP($B56,'8_р'!$C$17:$H$77,6,FALSE)</f>
        <v>#N/A</v>
      </c>
      <c r="M58" s="152"/>
      <c r="N58" s="244"/>
      <c r="O58" s="152"/>
      <c r="P58" s="243">
        <f>B56</f>
        <v>1363</v>
      </c>
      <c r="Q58" s="131" t="e">
        <f>$A56</f>
        <v>#N/A</v>
      </c>
      <c r="R58" s="131">
        <v>3</v>
      </c>
      <c r="S58" s="131" t="e">
        <f>$A56</f>
        <v>#N/A</v>
      </c>
      <c r="T58" s="236"/>
      <c r="U58" s="236"/>
      <c r="V58" s="236"/>
      <c r="W58" s="236"/>
      <c r="X58" s="236"/>
      <c r="Y58" s="236"/>
      <c r="Z58" s="236"/>
      <c r="AB58" s="86"/>
      <c r="AC58" s="131"/>
      <c r="AD58" s="131"/>
    </row>
    <row r="59" spans="1:30" s="123" customFormat="1" ht="13.2" customHeight="1" x14ac:dyDescent="0.35">
      <c r="A59" s="86"/>
      <c r="B59" s="86"/>
      <c r="C59" s="241" t="e">
        <f>VLOOKUP(B56,Уч!$A$2:$L$16,11,FALSE)</f>
        <v>#N/A</v>
      </c>
      <c r="D59" s="131"/>
      <c r="E59" s="237" t="s">
        <v>77</v>
      </c>
      <c r="F59" s="243" t="e">
        <f>F58</f>
        <v>#N/A</v>
      </c>
      <c r="G59" s="243" t="e">
        <f t="shared" ref="G59:L59" si="14">F59+G58</f>
        <v>#N/A</v>
      </c>
      <c r="H59" s="243" t="e">
        <f t="shared" si="14"/>
        <v>#N/A</v>
      </c>
      <c r="I59" s="243" t="e">
        <f t="shared" si="14"/>
        <v>#N/A</v>
      </c>
      <c r="J59" s="243" t="e">
        <f t="shared" si="14"/>
        <v>#N/A</v>
      </c>
      <c r="K59" s="243" t="e">
        <f t="shared" si="14"/>
        <v>#N/A</v>
      </c>
      <c r="L59" s="240" t="e">
        <f t="shared" si="14"/>
        <v>#N/A</v>
      </c>
      <c r="M59" s="152"/>
      <c r="N59" s="244"/>
      <c r="O59" s="152"/>
      <c r="P59" s="243">
        <f>B56</f>
        <v>1363</v>
      </c>
      <c r="Q59" s="131" t="e">
        <f>$A56</f>
        <v>#N/A</v>
      </c>
      <c r="R59" s="131">
        <v>4</v>
      </c>
      <c r="S59" s="131" t="e">
        <f>$A56</f>
        <v>#N/A</v>
      </c>
      <c r="T59" s="152" t="e">
        <f t="shared" ref="T59:Z59" si="15">F59</f>
        <v>#N/A</v>
      </c>
      <c r="U59" s="152" t="e">
        <f t="shared" si="15"/>
        <v>#N/A</v>
      </c>
      <c r="V59" s="152" t="e">
        <f t="shared" si="15"/>
        <v>#N/A</v>
      </c>
      <c r="W59" s="152" t="e">
        <f t="shared" si="15"/>
        <v>#N/A</v>
      </c>
      <c r="X59" s="152" t="e">
        <f t="shared" si="15"/>
        <v>#N/A</v>
      </c>
      <c r="Y59" s="152" t="e">
        <f t="shared" si="15"/>
        <v>#N/A</v>
      </c>
      <c r="Z59" s="152" t="e">
        <f t="shared" si="15"/>
        <v>#N/A</v>
      </c>
      <c r="AB59" s="86"/>
      <c r="AC59" s="131"/>
      <c r="AD59" s="131"/>
    </row>
    <row r="60" spans="1:30" s="123" customFormat="1" ht="13.2" customHeight="1" thickBot="1" x14ac:dyDescent="0.4">
      <c r="A60" s="245"/>
      <c r="B60" s="245"/>
      <c r="C60" s="246" t="e">
        <f>VLOOKUP(B56,Уч!$A$2:$L$16,12,FALSE)</f>
        <v>#N/A</v>
      </c>
      <c r="D60" s="247"/>
      <c r="E60" s="248" t="s">
        <v>37</v>
      </c>
      <c r="F60" s="249" t="e">
        <f>RANK(F59,$T$16:$T$50,0)</f>
        <v>#N/A</v>
      </c>
      <c r="G60" s="249" t="e">
        <f>RANK(G59,$U$16:$U$50,0)</f>
        <v>#N/A</v>
      </c>
      <c r="H60" s="249" t="e">
        <f>RANK(H59,$V$16:$V$50,0)</f>
        <v>#N/A</v>
      </c>
      <c r="I60" s="249" t="e">
        <f>RANK(I59,$W$16:$W$50,0)</f>
        <v>#N/A</v>
      </c>
      <c r="J60" s="249" t="e">
        <f>RANK(J59,$X$16:$X$50,0)</f>
        <v>#N/A</v>
      </c>
      <c r="K60" s="249" t="e">
        <f>RANK(K59,$Y$16:$Y$50,0)</f>
        <v>#N/A</v>
      </c>
      <c r="L60" s="250" t="e">
        <f>RANK(L59,$Z$16:$Z$50,0)</f>
        <v>#N/A</v>
      </c>
      <c r="M60" s="251"/>
      <c r="N60" s="252"/>
      <c r="O60" s="251"/>
      <c r="P60" s="243">
        <f>B56</f>
        <v>1363</v>
      </c>
      <c r="Q60" s="131" t="e">
        <f>$A56</f>
        <v>#N/A</v>
      </c>
      <c r="R60" s="131">
        <v>5</v>
      </c>
      <c r="S60" s="131" t="e">
        <f>$A56</f>
        <v>#N/A</v>
      </c>
      <c r="T60" s="236"/>
      <c r="U60" s="236"/>
      <c r="V60" s="236"/>
      <c r="W60" s="236"/>
      <c r="X60" s="236"/>
      <c r="Y60" s="236"/>
      <c r="Z60" s="236"/>
      <c r="AB60" s="86"/>
      <c r="AC60" s="131"/>
      <c r="AD60" s="131"/>
    </row>
    <row r="61" spans="1:30" s="123" customFormat="1" ht="13.2" customHeight="1" thickTop="1" x14ac:dyDescent="0.35">
      <c r="A61" s="86" t="e">
        <f>RANK(M61,$M$16:$M$50,0)</f>
        <v>#N/A</v>
      </c>
      <c r="B61" s="86">
        <v>1372</v>
      </c>
      <c r="C61" s="123" t="e">
        <f>VLOOKUP(B61,Уч!$A$2:$L$16,2,FALSE)</f>
        <v>#N/A</v>
      </c>
      <c r="D61" s="231" t="e">
        <f>VLOOKUP(B61,Уч!$A$2:$L$16,3,FALSE)</f>
        <v>#N/A</v>
      </c>
      <c r="E61" s="232" t="s">
        <v>28</v>
      </c>
      <c r="F61" s="233" t="e">
        <f>VLOOKUP($B61,'110 сб '!$C$17:$I$87,5,FALSE)</f>
        <v>#N/A</v>
      </c>
      <c r="G61" s="233" t="e">
        <f>VLOOKUP($B61,высота!$C$17:$AF$42,29,FALSE)</f>
        <v>#N/A</v>
      </c>
      <c r="H61" s="233" t="e">
        <f>VLOOKUP($B61,ядро!$C$17:$K$43,8,FALSE)</f>
        <v>#N/A</v>
      </c>
      <c r="I61" s="233" t="e">
        <f>VLOOKUP($B61,'2_р'!$C$17:$I$68,5,FALSE)</f>
        <v>#N/A</v>
      </c>
      <c r="J61" s="233" t="e">
        <f>VLOOKUP($B61,Дл_р!$C$17:$O$43,11,FALSE)</f>
        <v>#N/A</v>
      </c>
      <c r="K61" s="233" t="e">
        <f>VLOOKUP($B61,К_р!$C$18:$K$31,8,FALSE)</f>
        <v>#N/A</v>
      </c>
      <c r="L61" s="234" t="e">
        <f>VLOOKUP($B61,'8_р'!$C$17:$H$77,5,FALSE)</f>
        <v>#N/A</v>
      </c>
      <c r="M61" s="15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1372</v>
      </c>
      <c r="Q61" s="131" t="e">
        <f>$A61</f>
        <v>#N/A</v>
      </c>
      <c r="R61" s="131">
        <v>1</v>
      </c>
      <c r="S61" s="131" t="e">
        <f>$A61</f>
        <v>#N/A</v>
      </c>
      <c r="T61" s="236"/>
      <c r="U61" s="236"/>
      <c r="V61" s="236"/>
      <c r="W61" s="236"/>
      <c r="X61" s="236"/>
      <c r="Y61" s="236"/>
      <c r="Z61" s="236"/>
      <c r="AB61" s="86"/>
      <c r="AC61" s="131" t="e">
        <f>IF(AND(Q61&gt;16,M61&gt;=4600),"1",LOOKUP(Q61,Q$5:AH$5,Q$6:AH$6))</f>
        <v>#N/A</v>
      </c>
      <c r="AD61" s="131" t="e">
        <f>LOOKUP(N61,R$8:W$8,R$9:W$9)</f>
        <v>#N/A</v>
      </c>
    </row>
    <row r="62" spans="1:30" s="123" customFormat="1" ht="13.2" customHeight="1" x14ac:dyDescent="0.35">
      <c r="A62" s="86"/>
      <c r="B62" s="86"/>
      <c r="C62" s="123" t="e">
        <f>VLOOKUP(B61,Уч!$A$2:$L$16,5,FALSE)</f>
        <v>#N/A</v>
      </c>
      <c r="D62" s="231" t="e">
        <f>VLOOKUP(B61,Уч!$A$2:$L$16,4,FALSE)</f>
        <v>#N/A</v>
      </c>
      <c r="E62" s="237" t="s">
        <v>79</v>
      </c>
      <c r="F62" s="238" t="e">
        <f>VLOOKUP($B61,'110 сб '!$C$17:$I$87,6,FALSE)</f>
        <v>#N/A</v>
      </c>
      <c r="G62" s="239"/>
      <c r="H62" s="239"/>
      <c r="I62" s="238" t="e">
        <f>VLOOKUP($B61,'2_р'!$C$17:$I$68,6,FALSE)</f>
        <v>#N/A</v>
      </c>
      <c r="J62" s="238" t="e">
        <f>VLOOKUP($B61,Дл_р!$C$17:$O$43,12,FALSE)</f>
        <v>#N/A</v>
      </c>
      <c r="K62" s="239"/>
      <c r="L62" s="240"/>
      <c r="M62" s="152"/>
      <c r="N62" s="86"/>
      <c r="O62" s="86" t="e">
        <f>CONCATENATE(AC61,"+",AD61,"+",5)</f>
        <v>#N/A</v>
      </c>
      <c r="P62" s="86">
        <f>B61</f>
        <v>1372</v>
      </c>
      <c r="Q62" s="131" t="e">
        <f>$A61</f>
        <v>#N/A</v>
      </c>
      <c r="R62" s="131">
        <v>2</v>
      </c>
      <c r="S62" s="131" t="e">
        <f>$A61</f>
        <v>#N/A</v>
      </c>
      <c r="T62" s="236"/>
      <c r="U62" s="236"/>
      <c r="V62" s="236"/>
      <c r="W62" s="236"/>
      <c r="X62" s="236"/>
      <c r="Y62" s="236"/>
      <c r="Z62" s="236"/>
      <c r="AB62" s="86"/>
      <c r="AC62" s="131"/>
      <c r="AD62" s="131"/>
    </row>
    <row r="63" spans="1:30" s="123" customFormat="1" ht="13.2" customHeight="1" x14ac:dyDescent="0.35">
      <c r="A63" s="86"/>
      <c r="B63" s="86"/>
      <c r="C63" s="241" t="e">
        <f>VLOOKUP(B61,Уч!$A$2:$L$16,7,FALSE)</f>
        <v>#N/A</v>
      </c>
      <c r="D63" s="242"/>
      <c r="E63" s="237" t="s">
        <v>70</v>
      </c>
      <c r="F63" s="243" t="e">
        <f>VLOOKUP($B61,'110 сб '!$C$17:$I$87,7,FALSE)</f>
        <v>#N/A</v>
      </c>
      <c r="G63" s="243" t="e">
        <f>VLOOKUP($B61,высота!$C$17:$AF$42,30,FALSE)</f>
        <v>#N/A</v>
      </c>
      <c r="H63" s="243" t="e">
        <f>VLOOKUP($B61,ядро!$C$17:$K$43,9,FALSE)</f>
        <v>#N/A</v>
      </c>
      <c r="I63" s="243" t="e">
        <f>VLOOKUP($B61,'2_р'!$C$17:$I$68,7,FALSE)</f>
        <v>#N/A</v>
      </c>
      <c r="J63" s="243" t="e">
        <f>VLOOKUP($B61,Дл_р!$C$17:$O$43,13,FALSE)</f>
        <v>#N/A</v>
      </c>
      <c r="K63" s="243" t="e">
        <f>VLOOKUP($B61,К_р!$C$18:$K$31,9,FALSE)</f>
        <v>#N/A</v>
      </c>
      <c r="L63" s="240" t="e">
        <f>VLOOKUP($B61,'8_р'!$C$17:$H$77,6,FALSE)</f>
        <v>#N/A</v>
      </c>
      <c r="M63" s="152"/>
      <c r="N63" s="244"/>
      <c r="O63" s="152"/>
      <c r="P63" s="243">
        <f>B61</f>
        <v>1372</v>
      </c>
      <c r="Q63" s="131" t="e">
        <f>$A61</f>
        <v>#N/A</v>
      </c>
      <c r="R63" s="131">
        <v>3</v>
      </c>
      <c r="S63" s="131" t="e">
        <f>$A61</f>
        <v>#N/A</v>
      </c>
      <c r="T63" s="236"/>
      <c r="U63" s="236"/>
      <c r="V63" s="236"/>
      <c r="W63" s="236"/>
      <c r="X63" s="236"/>
      <c r="Y63" s="236"/>
      <c r="Z63" s="236"/>
      <c r="AB63" s="86"/>
      <c r="AC63" s="131"/>
      <c r="AD63" s="131"/>
    </row>
    <row r="64" spans="1:30" s="123" customFormat="1" ht="13.2" customHeight="1" x14ac:dyDescent="0.35">
      <c r="A64" s="86"/>
      <c r="B64" s="86"/>
      <c r="C64" s="241" t="e">
        <f>VLOOKUP(B61,Уч!$A$2:$L$16,11,FALSE)</f>
        <v>#N/A</v>
      </c>
      <c r="D64" s="131"/>
      <c r="E64" s="237" t="s">
        <v>77</v>
      </c>
      <c r="F64" s="243" t="e">
        <f>F63</f>
        <v>#N/A</v>
      </c>
      <c r="G64" s="243" t="e">
        <f t="shared" ref="G64:L64" si="16">F64+G63</f>
        <v>#N/A</v>
      </c>
      <c r="H64" s="243" t="e">
        <f t="shared" si="16"/>
        <v>#N/A</v>
      </c>
      <c r="I64" s="243" t="e">
        <f t="shared" si="16"/>
        <v>#N/A</v>
      </c>
      <c r="J64" s="243" t="e">
        <f t="shared" si="16"/>
        <v>#N/A</v>
      </c>
      <c r="K64" s="243" t="e">
        <f t="shared" si="16"/>
        <v>#N/A</v>
      </c>
      <c r="L64" s="240" t="e">
        <f t="shared" si="16"/>
        <v>#N/A</v>
      </c>
      <c r="M64" s="152"/>
      <c r="N64" s="244"/>
      <c r="O64" s="152"/>
      <c r="P64" s="243">
        <f>B61</f>
        <v>1372</v>
      </c>
      <c r="Q64" s="131" t="e">
        <f>$A61</f>
        <v>#N/A</v>
      </c>
      <c r="R64" s="131">
        <v>4</v>
      </c>
      <c r="S64" s="131" t="e">
        <f>$A61</f>
        <v>#N/A</v>
      </c>
      <c r="T64" s="152" t="e">
        <f t="shared" ref="T64:Z64" si="17">F64</f>
        <v>#N/A</v>
      </c>
      <c r="U64" s="152" t="e">
        <f t="shared" si="17"/>
        <v>#N/A</v>
      </c>
      <c r="V64" s="152" t="e">
        <f t="shared" si="17"/>
        <v>#N/A</v>
      </c>
      <c r="W64" s="152" t="e">
        <f t="shared" si="17"/>
        <v>#N/A</v>
      </c>
      <c r="X64" s="152" t="e">
        <f t="shared" si="17"/>
        <v>#N/A</v>
      </c>
      <c r="Y64" s="152" t="e">
        <f t="shared" si="17"/>
        <v>#N/A</v>
      </c>
      <c r="Z64" s="152" t="e">
        <f t="shared" si="17"/>
        <v>#N/A</v>
      </c>
      <c r="AB64" s="86"/>
      <c r="AC64" s="131"/>
      <c r="AD64" s="131"/>
    </row>
    <row r="65" spans="1:30" s="123" customFormat="1" ht="13.2" customHeight="1" thickBot="1" x14ac:dyDescent="0.4">
      <c r="A65" s="245"/>
      <c r="B65" s="245"/>
      <c r="C65" s="246" t="e">
        <f>VLOOKUP(B61,Уч!$A$2:$L$16,12,FALSE)</f>
        <v>#N/A</v>
      </c>
      <c r="D65" s="247"/>
      <c r="E65" s="248" t="s">
        <v>37</v>
      </c>
      <c r="F65" s="249" t="e">
        <f>RANK(F64,$T$16:$T$50,0)</f>
        <v>#N/A</v>
      </c>
      <c r="G65" s="249" t="e">
        <f>RANK(G64,$U$16:$U$50,0)</f>
        <v>#N/A</v>
      </c>
      <c r="H65" s="249" t="e">
        <f>RANK(H64,$V$16:$V$50,0)</f>
        <v>#N/A</v>
      </c>
      <c r="I65" s="249" t="e">
        <f>RANK(I64,$W$16:$W$50,0)</f>
        <v>#N/A</v>
      </c>
      <c r="J65" s="249" t="e">
        <f>RANK(J64,$X$16:$X$50,0)</f>
        <v>#N/A</v>
      </c>
      <c r="K65" s="249" t="e">
        <f>RANK(K64,$Y$16:$Y$50,0)</f>
        <v>#N/A</v>
      </c>
      <c r="L65" s="250" t="e">
        <f>RANK(L64,$Z$16:$Z$50,0)</f>
        <v>#N/A</v>
      </c>
      <c r="M65" s="251"/>
      <c r="N65" s="252"/>
      <c r="O65" s="251"/>
      <c r="P65" s="243">
        <f>B61</f>
        <v>1372</v>
      </c>
      <c r="Q65" s="131" t="e">
        <f>$A61</f>
        <v>#N/A</v>
      </c>
      <c r="R65" s="131">
        <v>5</v>
      </c>
      <c r="S65" s="131" t="e">
        <f>$A61</f>
        <v>#N/A</v>
      </c>
      <c r="T65" s="236"/>
      <c r="U65" s="236"/>
      <c r="V65" s="236"/>
      <c r="W65" s="236"/>
      <c r="X65" s="236"/>
      <c r="Y65" s="236"/>
      <c r="Z65" s="236"/>
      <c r="AB65" s="86"/>
      <c r="AC65" s="131"/>
      <c r="AD65" s="131"/>
    </row>
    <row r="66" spans="1:30" s="123" customFormat="1" ht="13.2" customHeight="1" thickTop="1" x14ac:dyDescent="0.35">
      <c r="A66" s="86" t="e">
        <f>RANK(M66,$M$16:$M$50,0)</f>
        <v>#N/A</v>
      </c>
      <c r="B66" s="86">
        <v>1375</v>
      </c>
      <c r="C66" s="123" t="e">
        <f>VLOOKUP(B66,Уч!$A$2:$L$16,2,FALSE)</f>
        <v>#N/A</v>
      </c>
      <c r="D66" s="231" t="e">
        <f>VLOOKUP(B66,Уч!$A$2:$L$16,3,FALSE)</f>
        <v>#N/A</v>
      </c>
      <c r="E66" s="232" t="s">
        <v>28</v>
      </c>
      <c r="F66" s="233" t="e">
        <f>VLOOKUP($B66,'110 сб '!$C$17:$I$87,5,FALSE)</f>
        <v>#N/A</v>
      </c>
      <c r="G66" s="233" t="e">
        <f>VLOOKUP($B66,высота!$C$17:$AF$42,29,FALSE)</f>
        <v>#N/A</v>
      </c>
      <c r="H66" s="233" t="e">
        <f>VLOOKUP($B66,ядро!$C$17:$K$43,8,FALSE)</f>
        <v>#N/A</v>
      </c>
      <c r="I66" s="233" t="e">
        <f>VLOOKUP($B66,'2_р'!$C$17:$I$68,5,FALSE)</f>
        <v>#N/A</v>
      </c>
      <c r="J66" s="233" t="e">
        <f>VLOOKUP($B66,Дл_р!$C$17:$O$43,11,FALSE)</f>
        <v>#N/A</v>
      </c>
      <c r="K66" s="233" t="e">
        <f>VLOOKUP($B66,К_р!$C$18:$K$31,8,FALSE)</f>
        <v>#N/A</v>
      </c>
      <c r="L66" s="234">
        <f>VLOOKUP($B66,'8_р'!$C$17:$H$77,5,FALSE)</f>
        <v>0</v>
      </c>
      <c r="M66" s="15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1375</v>
      </c>
      <c r="Q66" s="131" t="e">
        <f>$A66</f>
        <v>#N/A</v>
      </c>
      <c r="R66" s="131">
        <v>1</v>
      </c>
      <c r="S66" s="131" t="e">
        <f>$A66</f>
        <v>#N/A</v>
      </c>
      <c r="T66" s="236"/>
      <c r="U66" s="236"/>
      <c r="V66" s="236"/>
      <c r="W66" s="236"/>
      <c r="X66" s="236"/>
      <c r="Y66" s="236"/>
      <c r="Z66" s="236"/>
      <c r="AB66" s="86"/>
      <c r="AC66" s="131" t="e">
        <f>IF(AND(Q66&gt;16,M66&gt;=4600),"1",LOOKUP(Q66,Q$5:AH$5,Q$6:AH$6))</f>
        <v>#N/A</v>
      </c>
      <c r="AD66" s="131" t="e">
        <f>LOOKUP(N66,R$8:W$8,R$9:W$9)</f>
        <v>#N/A</v>
      </c>
    </row>
    <row r="67" spans="1:30" s="123" customFormat="1" ht="13.2" customHeight="1" x14ac:dyDescent="0.35">
      <c r="A67" s="86"/>
      <c r="B67" s="86"/>
      <c r="C67" s="123" t="e">
        <f>VLOOKUP(B66,Уч!$A$2:$L$16,5,FALSE)</f>
        <v>#N/A</v>
      </c>
      <c r="D67" s="231" t="e">
        <f>VLOOKUP(B66,Уч!$A$2:$L$16,4,FALSE)</f>
        <v>#N/A</v>
      </c>
      <c r="E67" s="237" t="s">
        <v>79</v>
      </c>
      <c r="F67" s="238" t="e">
        <f>VLOOKUP($B66,'110 сб '!$C$17:$I$87,6,FALSE)</f>
        <v>#N/A</v>
      </c>
      <c r="G67" s="239"/>
      <c r="H67" s="239"/>
      <c r="I67" s="238" t="e">
        <f>VLOOKUP($B66,'2_р'!$C$17:$I$68,6,FALSE)</f>
        <v>#N/A</v>
      </c>
      <c r="J67" s="238" t="e">
        <f>VLOOKUP($B66,Дл_р!$C$17:$O$43,12,FALSE)</f>
        <v>#N/A</v>
      </c>
      <c r="K67" s="239"/>
      <c r="L67" s="240"/>
      <c r="M67" s="152"/>
      <c r="N67" s="86"/>
      <c r="O67" s="86" t="e">
        <f>CONCATENATE(AC66,"+",AD66,"+",5)</f>
        <v>#N/A</v>
      </c>
      <c r="P67" s="86">
        <f>B66</f>
        <v>1375</v>
      </c>
      <c r="Q67" s="131" t="e">
        <f>$A66</f>
        <v>#N/A</v>
      </c>
      <c r="R67" s="131">
        <v>2</v>
      </c>
      <c r="S67" s="131" t="e">
        <f>$A66</f>
        <v>#N/A</v>
      </c>
      <c r="T67" s="236"/>
      <c r="U67" s="236"/>
      <c r="V67" s="236"/>
      <c r="W67" s="236"/>
      <c r="X67" s="236"/>
      <c r="Y67" s="236"/>
      <c r="Z67" s="236"/>
      <c r="AB67" s="86"/>
      <c r="AC67" s="131"/>
      <c r="AD67" s="131"/>
    </row>
    <row r="68" spans="1:30" s="123" customFormat="1" ht="13.2" customHeight="1" x14ac:dyDescent="0.35">
      <c r="A68" s="86"/>
      <c r="B68" s="86"/>
      <c r="C68" s="241" t="e">
        <f>VLOOKUP(B66,Уч!$A$2:$L$16,7,FALSE)</f>
        <v>#N/A</v>
      </c>
      <c r="D68" s="242"/>
      <c r="E68" s="237" t="s">
        <v>70</v>
      </c>
      <c r="F68" s="243" t="e">
        <f>VLOOKUP($B66,'110 сб '!$C$17:$I$87,7,FALSE)</f>
        <v>#N/A</v>
      </c>
      <c r="G68" s="243" t="e">
        <f>VLOOKUP($B66,высота!$C$17:$AF$42,30,FALSE)</f>
        <v>#N/A</v>
      </c>
      <c r="H68" s="243" t="e">
        <f>VLOOKUP($B66,ядро!$C$17:$K$43,9,FALSE)</f>
        <v>#N/A</v>
      </c>
      <c r="I68" s="243" t="e">
        <f>VLOOKUP($B66,'2_р'!$C$17:$I$68,7,FALSE)</f>
        <v>#N/A</v>
      </c>
      <c r="J68" s="243" t="e">
        <f>VLOOKUP($B66,Дл_р!$C$17:$O$43,13,FALSE)</f>
        <v>#N/A</v>
      </c>
      <c r="K68" s="243" t="e">
        <f>VLOOKUP($B66,К_р!$C$18:$K$31,9,FALSE)</f>
        <v>#N/A</v>
      </c>
      <c r="L68" s="240">
        <f>VLOOKUP($B66,'8_р'!$C$17:$H$77,6,FALSE)</f>
        <v>0</v>
      </c>
      <c r="M68" s="152"/>
      <c r="N68" s="244"/>
      <c r="O68" s="152"/>
      <c r="P68" s="243">
        <f>B66</f>
        <v>1375</v>
      </c>
      <c r="Q68" s="131" t="e">
        <f>$A66</f>
        <v>#N/A</v>
      </c>
      <c r="R68" s="131">
        <v>3</v>
      </c>
      <c r="S68" s="131" t="e">
        <f>$A66</f>
        <v>#N/A</v>
      </c>
      <c r="T68" s="236"/>
      <c r="U68" s="236"/>
      <c r="V68" s="236"/>
      <c r="W68" s="236"/>
      <c r="X68" s="236"/>
      <c r="Y68" s="236"/>
      <c r="Z68" s="236"/>
      <c r="AB68" s="86"/>
      <c r="AC68" s="131"/>
      <c r="AD68" s="131"/>
    </row>
    <row r="69" spans="1:30" s="123" customFormat="1" ht="13.2" customHeight="1" x14ac:dyDescent="0.35">
      <c r="A69" s="86"/>
      <c r="B69" s="86"/>
      <c r="C69" s="241" t="e">
        <f>VLOOKUP(B66,Уч!$A$2:$L$16,11,FALSE)</f>
        <v>#N/A</v>
      </c>
      <c r="D69" s="131"/>
      <c r="E69" s="237" t="s">
        <v>77</v>
      </c>
      <c r="F69" s="243" t="e">
        <f>F68</f>
        <v>#N/A</v>
      </c>
      <c r="G69" s="243" t="e">
        <f t="shared" ref="G69:L69" si="18">F69+G68</f>
        <v>#N/A</v>
      </c>
      <c r="H69" s="243" t="e">
        <f t="shared" si="18"/>
        <v>#N/A</v>
      </c>
      <c r="I69" s="243" t="e">
        <f t="shared" si="18"/>
        <v>#N/A</v>
      </c>
      <c r="J69" s="243" t="e">
        <f t="shared" si="18"/>
        <v>#N/A</v>
      </c>
      <c r="K69" s="243" t="e">
        <f t="shared" si="18"/>
        <v>#N/A</v>
      </c>
      <c r="L69" s="240" t="e">
        <f t="shared" si="18"/>
        <v>#N/A</v>
      </c>
      <c r="M69" s="152"/>
      <c r="N69" s="244"/>
      <c r="O69" s="152"/>
      <c r="P69" s="243">
        <f>B66</f>
        <v>1375</v>
      </c>
      <c r="Q69" s="131" t="e">
        <f>$A66</f>
        <v>#N/A</v>
      </c>
      <c r="R69" s="131">
        <v>4</v>
      </c>
      <c r="S69" s="131" t="e">
        <f>$A66</f>
        <v>#N/A</v>
      </c>
      <c r="T69" s="152" t="e">
        <f t="shared" ref="T69:Z69" si="19">F69</f>
        <v>#N/A</v>
      </c>
      <c r="U69" s="152" t="e">
        <f t="shared" si="19"/>
        <v>#N/A</v>
      </c>
      <c r="V69" s="152" t="e">
        <f t="shared" si="19"/>
        <v>#N/A</v>
      </c>
      <c r="W69" s="152" t="e">
        <f t="shared" si="19"/>
        <v>#N/A</v>
      </c>
      <c r="X69" s="152" t="e">
        <f t="shared" si="19"/>
        <v>#N/A</v>
      </c>
      <c r="Y69" s="152" t="e">
        <f t="shared" si="19"/>
        <v>#N/A</v>
      </c>
      <c r="Z69" s="152" t="e">
        <f t="shared" si="19"/>
        <v>#N/A</v>
      </c>
      <c r="AB69" s="86"/>
      <c r="AC69" s="131"/>
      <c r="AD69" s="131"/>
    </row>
    <row r="70" spans="1:30" s="123" customFormat="1" ht="13.2" customHeight="1" thickBot="1" x14ac:dyDescent="0.4">
      <c r="A70" s="245"/>
      <c r="B70" s="245"/>
      <c r="C70" s="246" t="e">
        <f>VLOOKUP(B66,Уч!$A$2:$L$16,12,FALSE)</f>
        <v>#N/A</v>
      </c>
      <c r="D70" s="247"/>
      <c r="E70" s="248" t="s">
        <v>37</v>
      </c>
      <c r="F70" s="249" t="e">
        <f>RANK(F69,$T$16:$T$50,0)</f>
        <v>#N/A</v>
      </c>
      <c r="G70" s="249" t="e">
        <f>RANK(G69,$U$16:$U$50,0)</f>
        <v>#N/A</v>
      </c>
      <c r="H70" s="249" t="e">
        <f>RANK(H69,$V$16:$V$50,0)</f>
        <v>#N/A</v>
      </c>
      <c r="I70" s="249" t="e">
        <f>RANK(I69,$W$16:$W$50,0)</f>
        <v>#N/A</v>
      </c>
      <c r="J70" s="249" t="e">
        <f>RANK(J69,$X$16:$X$50,0)</f>
        <v>#N/A</v>
      </c>
      <c r="K70" s="249" t="e">
        <f>RANK(K69,$Y$16:$Y$50,0)</f>
        <v>#N/A</v>
      </c>
      <c r="L70" s="250" t="e">
        <f>RANK(L69,$Z$16:$Z$50,0)</f>
        <v>#N/A</v>
      </c>
      <c r="M70" s="251"/>
      <c r="N70" s="252"/>
      <c r="O70" s="251"/>
      <c r="P70" s="243">
        <f>B66</f>
        <v>1375</v>
      </c>
      <c r="Q70" s="131" t="e">
        <f>$A66</f>
        <v>#N/A</v>
      </c>
      <c r="R70" s="131">
        <v>5</v>
      </c>
      <c r="S70" s="131" t="e">
        <f>$A66</f>
        <v>#N/A</v>
      </c>
      <c r="T70" s="236"/>
      <c r="U70" s="236"/>
      <c r="V70" s="236"/>
      <c r="W70" s="236"/>
      <c r="X70" s="236"/>
      <c r="Y70" s="236"/>
      <c r="Z70" s="236"/>
      <c r="AB70" s="86"/>
      <c r="AC70" s="131"/>
      <c r="AD70" s="131"/>
    </row>
    <row r="71" spans="1:30" s="123" customFormat="1" ht="13.2" customHeight="1" thickTop="1" x14ac:dyDescent="0.35">
      <c r="A71" s="86" t="e">
        <f>RANK(M71,$M$16:$M$50,0)</f>
        <v>#N/A</v>
      </c>
      <c r="B71" s="86">
        <v>1379</v>
      </c>
      <c r="C71" s="123" t="e">
        <f>VLOOKUP(B71,Уч!$A$2:$L$16,2,FALSE)</f>
        <v>#N/A</v>
      </c>
      <c r="D71" s="231" t="e">
        <f>VLOOKUP(B71,Уч!$A$2:$L$16,3,FALSE)</f>
        <v>#N/A</v>
      </c>
      <c r="E71" s="232" t="s">
        <v>28</v>
      </c>
      <c r="F71" s="233" t="e">
        <f>VLOOKUP($B71,'110 сб '!$C$17:$I$87,5,FALSE)</f>
        <v>#N/A</v>
      </c>
      <c r="G71" s="233" t="e">
        <f>VLOOKUP($B71,высота!$C$17:$AF$42,29,FALSE)</f>
        <v>#N/A</v>
      </c>
      <c r="H71" s="233" t="e">
        <f>VLOOKUP($B71,ядро!$C$17:$K$43,8,FALSE)</f>
        <v>#N/A</v>
      </c>
      <c r="I71" s="233" t="e">
        <f>VLOOKUP($B71,'2_р'!$C$17:$I$68,5,FALSE)</f>
        <v>#N/A</v>
      </c>
      <c r="J71" s="233" t="e">
        <f>VLOOKUP($B71,Дл_р!$C$17:$O$43,11,FALSE)</f>
        <v>#N/A</v>
      </c>
      <c r="K71" s="233" t="e">
        <f>VLOOKUP($B71,К_р!$C$18:$K$31,8,FALSE)</f>
        <v>#N/A</v>
      </c>
      <c r="L71" s="234" t="e">
        <f>VLOOKUP($B71,'8_р'!$C$17:$H$77,5,FALSE)</f>
        <v>#N/A</v>
      </c>
      <c r="M71" s="152" t="e">
        <f>SUM(F73:L73)</f>
        <v>#N/A</v>
      </c>
      <c r="N71" s="86" t="e">
        <f>LOOKUP(M71,R$1:AA$1,R$2:AA$2)</f>
        <v>#N/A</v>
      </c>
      <c r="O71" s="86" t="e">
        <f>AC71+AD71+5</f>
        <v>#N/A</v>
      </c>
      <c r="P71" s="86">
        <f>B71</f>
        <v>1379</v>
      </c>
      <c r="Q71" s="131" t="e">
        <f>$A71</f>
        <v>#N/A</v>
      </c>
      <c r="R71" s="131">
        <v>1</v>
      </c>
      <c r="S71" s="131" t="e">
        <f>$A71</f>
        <v>#N/A</v>
      </c>
      <c r="T71" s="236"/>
      <c r="U71" s="236"/>
      <c r="V71" s="236"/>
      <c r="W71" s="236"/>
      <c r="X71" s="236"/>
      <c r="Y71" s="236"/>
      <c r="Z71" s="236"/>
      <c r="AB71" s="86"/>
      <c r="AC71" s="131" t="e">
        <f>IF(AND(Q71&gt;16,M71&gt;=4600),"1",LOOKUP(Q71,Q$5:AH$5,Q$6:AH$6))</f>
        <v>#N/A</v>
      </c>
      <c r="AD71" s="131" t="e">
        <f>LOOKUP(N71,R$8:W$8,R$9:W$9)</f>
        <v>#N/A</v>
      </c>
    </row>
    <row r="72" spans="1:30" s="123" customFormat="1" ht="13.2" customHeight="1" x14ac:dyDescent="0.35">
      <c r="A72" s="86"/>
      <c r="B72" s="86"/>
      <c r="C72" s="123" t="e">
        <f>VLOOKUP(B71,Уч!$A$2:$L$16,5,FALSE)</f>
        <v>#N/A</v>
      </c>
      <c r="D72" s="231" t="e">
        <f>VLOOKUP(B71,Уч!$A$2:$L$16,4,FALSE)</f>
        <v>#N/A</v>
      </c>
      <c r="E72" s="237" t="s">
        <v>79</v>
      </c>
      <c r="F72" s="238" t="e">
        <f>VLOOKUP($B71,'110 сб '!$C$17:$I$87,6,FALSE)</f>
        <v>#N/A</v>
      </c>
      <c r="G72" s="239"/>
      <c r="H72" s="239"/>
      <c r="I72" s="238" t="e">
        <f>VLOOKUP($B71,'2_р'!$C$17:$I$68,6,FALSE)</f>
        <v>#N/A</v>
      </c>
      <c r="J72" s="238" t="e">
        <f>VLOOKUP($B71,Дл_р!$C$17:$O$43,12,FALSE)</f>
        <v>#N/A</v>
      </c>
      <c r="K72" s="239"/>
      <c r="L72" s="240"/>
      <c r="M72" s="152"/>
      <c r="N72" s="86"/>
      <c r="O72" s="86" t="e">
        <f>CONCATENATE(AC71,"+",AD71,"+",5)</f>
        <v>#N/A</v>
      </c>
      <c r="P72" s="86">
        <f>B71</f>
        <v>1379</v>
      </c>
      <c r="Q72" s="131" t="e">
        <f>$A71</f>
        <v>#N/A</v>
      </c>
      <c r="R72" s="131">
        <v>2</v>
      </c>
      <c r="S72" s="131" t="e">
        <f>$A71</f>
        <v>#N/A</v>
      </c>
      <c r="T72" s="236"/>
      <c r="U72" s="236"/>
      <c r="V72" s="236"/>
      <c r="W72" s="236"/>
      <c r="X72" s="236"/>
      <c r="Y72" s="236"/>
      <c r="Z72" s="236"/>
      <c r="AB72" s="86"/>
      <c r="AC72" s="131"/>
      <c r="AD72" s="131"/>
    </row>
    <row r="73" spans="1:30" s="123" customFormat="1" ht="13.2" customHeight="1" x14ac:dyDescent="0.35">
      <c r="A73" s="86"/>
      <c r="B73" s="86"/>
      <c r="C73" s="241" t="e">
        <f>VLOOKUP(B71,Уч!$A$2:$L$16,7,FALSE)</f>
        <v>#N/A</v>
      </c>
      <c r="D73" s="242"/>
      <c r="E73" s="237" t="s">
        <v>70</v>
      </c>
      <c r="F73" s="243" t="e">
        <f>VLOOKUP($B71,'110 сб '!$C$17:$I$87,7,FALSE)</f>
        <v>#N/A</v>
      </c>
      <c r="G73" s="243" t="e">
        <f>VLOOKUP($B71,высота!$C$17:$AF$42,30,FALSE)</f>
        <v>#N/A</v>
      </c>
      <c r="H73" s="243" t="e">
        <f>VLOOKUP($B71,ядро!$C$17:$K$43,9,FALSE)</f>
        <v>#N/A</v>
      </c>
      <c r="I73" s="243" t="e">
        <f>VLOOKUP($B71,'2_р'!$C$17:$I$68,7,FALSE)</f>
        <v>#N/A</v>
      </c>
      <c r="J73" s="243" t="e">
        <f>VLOOKUP($B71,Дл_р!$C$17:$O$43,13,FALSE)</f>
        <v>#N/A</v>
      </c>
      <c r="K73" s="243" t="e">
        <f>VLOOKUP($B71,К_р!$C$18:$K$31,9,FALSE)</f>
        <v>#N/A</v>
      </c>
      <c r="L73" s="240" t="e">
        <f>VLOOKUP($B71,'8_р'!$C$17:$H$77,6,FALSE)</f>
        <v>#N/A</v>
      </c>
      <c r="M73" s="152"/>
      <c r="N73" s="244"/>
      <c r="O73" s="152"/>
      <c r="P73" s="243">
        <f>B71</f>
        <v>1379</v>
      </c>
      <c r="Q73" s="131" t="e">
        <f>$A71</f>
        <v>#N/A</v>
      </c>
      <c r="R73" s="131">
        <v>3</v>
      </c>
      <c r="S73" s="131" t="e">
        <f>$A71</f>
        <v>#N/A</v>
      </c>
      <c r="T73" s="236"/>
      <c r="U73" s="236"/>
      <c r="V73" s="236"/>
      <c r="W73" s="236"/>
      <c r="X73" s="236"/>
      <c r="Y73" s="236"/>
      <c r="Z73" s="236"/>
      <c r="AB73" s="86"/>
      <c r="AC73" s="131"/>
      <c r="AD73" s="131"/>
    </row>
    <row r="74" spans="1:30" s="123" customFormat="1" ht="13.2" customHeight="1" x14ac:dyDescent="0.35">
      <c r="A74" s="86"/>
      <c r="B74" s="86"/>
      <c r="C74" s="241" t="e">
        <f>VLOOKUP(B71,Уч!$A$2:$L$16,11,FALSE)</f>
        <v>#N/A</v>
      </c>
      <c r="D74" s="131"/>
      <c r="E74" s="237" t="s">
        <v>77</v>
      </c>
      <c r="F74" s="243" t="e">
        <f>F73</f>
        <v>#N/A</v>
      </c>
      <c r="G74" s="243" t="e">
        <f t="shared" ref="G74:L74" si="20">F74+G73</f>
        <v>#N/A</v>
      </c>
      <c r="H74" s="243" t="e">
        <f t="shared" si="20"/>
        <v>#N/A</v>
      </c>
      <c r="I74" s="243" t="e">
        <f t="shared" si="20"/>
        <v>#N/A</v>
      </c>
      <c r="J74" s="243" t="e">
        <f t="shared" si="20"/>
        <v>#N/A</v>
      </c>
      <c r="K74" s="243" t="e">
        <f t="shared" si="20"/>
        <v>#N/A</v>
      </c>
      <c r="L74" s="240" t="e">
        <f t="shared" si="20"/>
        <v>#N/A</v>
      </c>
      <c r="M74" s="152"/>
      <c r="N74" s="244"/>
      <c r="O74" s="152"/>
      <c r="P74" s="243">
        <f>B71</f>
        <v>1379</v>
      </c>
      <c r="Q74" s="131" t="e">
        <f>$A71</f>
        <v>#N/A</v>
      </c>
      <c r="R74" s="131">
        <v>4</v>
      </c>
      <c r="S74" s="131" t="e">
        <f>$A71</f>
        <v>#N/A</v>
      </c>
      <c r="T74" s="152" t="e">
        <f t="shared" ref="T74:Z74" si="21">F74</f>
        <v>#N/A</v>
      </c>
      <c r="U74" s="152" t="e">
        <f t="shared" si="21"/>
        <v>#N/A</v>
      </c>
      <c r="V74" s="152" t="e">
        <f t="shared" si="21"/>
        <v>#N/A</v>
      </c>
      <c r="W74" s="152" t="e">
        <f t="shared" si="21"/>
        <v>#N/A</v>
      </c>
      <c r="X74" s="152" t="e">
        <f t="shared" si="21"/>
        <v>#N/A</v>
      </c>
      <c r="Y74" s="152" t="e">
        <f t="shared" si="21"/>
        <v>#N/A</v>
      </c>
      <c r="Z74" s="152" t="e">
        <f t="shared" si="21"/>
        <v>#N/A</v>
      </c>
      <c r="AB74" s="86"/>
      <c r="AC74" s="131"/>
      <c r="AD74" s="131"/>
    </row>
    <row r="75" spans="1:30" s="123" customFormat="1" ht="13.2" customHeight="1" thickBot="1" x14ac:dyDescent="0.4">
      <c r="A75" s="245"/>
      <c r="B75" s="245"/>
      <c r="C75" s="246" t="e">
        <f>VLOOKUP(B71,Уч!$A$2:$L$16,12,FALSE)</f>
        <v>#N/A</v>
      </c>
      <c r="D75" s="247"/>
      <c r="E75" s="248" t="s">
        <v>37</v>
      </c>
      <c r="F75" s="249" t="e">
        <f>RANK(F74,$T$16:$T$50,0)</f>
        <v>#N/A</v>
      </c>
      <c r="G75" s="249" t="e">
        <f>RANK(G74,$U$16:$U$50,0)</f>
        <v>#N/A</v>
      </c>
      <c r="H75" s="249" t="e">
        <f>RANK(H74,$V$16:$V$50,0)</f>
        <v>#N/A</v>
      </c>
      <c r="I75" s="249" t="e">
        <f>RANK(I74,$W$16:$W$50,0)</f>
        <v>#N/A</v>
      </c>
      <c r="J75" s="249" t="e">
        <f>RANK(J74,$X$16:$X$50,0)</f>
        <v>#N/A</v>
      </c>
      <c r="K75" s="249" t="e">
        <f>RANK(K74,$Y$16:$Y$50,0)</f>
        <v>#N/A</v>
      </c>
      <c r="L75" s="250" t="e">
        <f>RANK(L74,$Z$16:$Z$50,0)</f>
        <v>#N/A</v>
      </c>
      <c r="M75" s="251"/>
      <c r="N75" s="252"/>
      <c r="O75" s="251"/>
      <c r="P75" s="243">
        <f>B71</f>
        <v>1379</v>
      </c>
      <c r="Q75" s="131" t="e">
        <f>$A71</f>
        <v>#N/A</v>
      </c>
      <c r="R75" s="131">
        <v>5</v>
      </c>
      <c r="S75" s="131" t="e">
        <f>$A71</f>
        <v>#N/A</v>
      </c>
      <c r="T75" s="236"/>
      <c r="U75" s="236"/>
      <c r="V75" s="236"/>
      <c r="W75" s="236"/>
      <c r="X75" s="236"/>
      <c r="Y75" s="236"/>
      <c r="Z75" s="236"/>
      <c r="AB75" s="86"/>
      <c r="AC75" s="131"/>
      <c r="AD75" s="131"/>
    </row>
    <row r="76" spans="1:30" s="123" customFormat="1" ht="13.2" customHeight="1" thickTop="1" x14ac:dyDescent="0.35">
      <c r="A76" s="86" t="e">
        <f>RANK(M76,$M$16:$M$50,0)</f>
        <v>#N/A</v>
      </c>
      <c r="B76" s="86">
        <v>1380</v>
      </c>
      <c r="C76" s="123" t="e">
        <f>VLOOKUP(B76,Уч!$A$2:$L$16,2,FALSE)</f>
        <v>#N/A</v>
      </c>
      <c r="D76" s="231" t="e">
        <f>VLOOKUP(B76,Уч!$A$2:$L$16,3,FALSE)</f>
        <v>#N/A</v>
      </c>
      <c r="E76" s="232" t="s">
        <v>28</v>
      </c>
      <c r="F76" s="233" t="e">
        <f>VLOOKUP($B76,'110 сб '!$C$17:$I$87,5,FALSE)</f>
        <v>#N/A</v>
      </c>
      <c r="G76" s="233" t="e">
        <f>VLOOKUP($B76,высота!$C$17:$AF$42,29,FALSE)</f>
        <v>#N/A</v>
      </c>
      <c r="H76" s="233" t="e">
        <f>VLOOKUP($B76,ядро!$C$17:$K$43,8,FALSE)</f>
        <v>#N/A</v>
      </c>
      <c r="I76" s="233" t="e">
        <f>VLOOKUP($B76,'2_р'!$C$17:$I$68,5,FALSE)</f>
        <v>#N/A</v>
      </c>
      <c r="J76" s="233" t="e">
        <f>VLOOKUP($B76,Дл_р!$C$17:$O$43,11,FALSE)</f>
        <v>#N/A</v>
      </c>
      <c r="K76" s="233" t="e">
        <f>VLOOKUP($B76,К_р!$C$18:$K$31,8,FALSE)</f>
        <v>#N/A</v>
      </c>
      <c r="L76" s="234" t="e">
        <f>VLOOKUP($B76,'8_р'!$C$17:$H$77,5,FALSE)</f>
        <v>#N/A</v>
      </c>
      <c r="M76" s="152" t="e">
        <f>SUM(F78:L78)</f>
        <v>#N/A</v>
      </c>
      <c r="N76" s="86" t="e">
        <f>LOOKUP(M76,R$1:AA$1,R$2:AA$2)</f>
        <v>#N/A</v>
      </c>
      <c r="O76" s="86" t="e">
        <f>AC76+AD76+5</f>
        <v>#N/A</v>
      </c>
      <c r="P76" s="86">
        <f>B76</f>
        <v>1380</v>
      </c>
      <c r="Q76" s="131" t="e">
        <f>$A76</f>
        <v>#N/A</v>
      </c>
      <c r="R76" s="131">
        <v>1</v>
      </c>
      <c r="S76" s="131" t="e">
        <f>$A76</f>
        <v>#N/A</v>
      </c>
      <c r="T76" s="236"/>
      <c r="U76" s="236"/>
      <c r="V76" s="236"/>
      <c r="W76" s="236"/>
      <c r="X76" s="236"/>
      <c r="Y76" s="236"/>
      <c r="Z76" s="236"/>
      <c r="AB76" s="86"/>
      <c r="AC76" s="131" t="e">
        <f>IF(AND(Q76&gt;16,M76&gt;=4600),"1",LOOKUP(Q76,Q$5:AH$5,Q$6:AH$6))</f>
        <v>#N/A</v>
      </c>
      <c r="AD76" s="131" t="e">
        <f>LOOKUP(N76,R$8:W$8,R$9:W$9)</f>
        <v>#N/A</v>
      </c>
    </row>
    <row r="77" spans="1:30" s="123" customFormat="1" ht="13.2" customHeight="1" x14ac:dyDescent="0.35">
      <c r="A77" s="86"/>
      <c r="B77" s="86"/>
      <c r="C77" s="123" t="e">
        <f>VLOOKUP(B76,Уч!$A$2:$L$16,5,FALSE)</f>
        <v>#N/A</v>
      </c>
      <c r="D77" s="231" t="e">
        <f>VLOOKUP(B76,Уч!$A$2:$L$16,4,FALSE)</f>
        <v>#N/A</v>
      </c>
      <c r="E77" s="237" t="s">
        <v>79</v>
      </c>
      <c r="F77" s="238" t="e">
        <f>VLOOKUP($B76,'110 сб '!$C$17:$I$87,6,FALSE)</f>
        <v>#N/A</v>
      </c>
      <c r="G77" s="239"/>
      <c r="H77" s="239"/>
      <c r="I77" s="238" t="e">
        <f>VLOOKUP($B76,'2_р'!$C$17:$I$68,6,FALSE)</f>
        <v>#N/A</v>
      </c>
      <c r="J77" s="238" t="e">
        <f>VLOOKUP($B76,Дл_р!$C$17:$O$43,12,FALSE)</f>
        <v>#N/A</v>
      </c>
      <c r="K77" s="239"/>
      <c r="L77" s="240"/>
      <c r="M77" s="152"/>
      <c r="N77" s="86"/>
      <c r="O77" s="86" t="e">
        <f>CONCATENATE(AC76,"+",AD76,"+",5)</f>
        <v>#N/A</v>
      </c>
      <c r="P77" s="86">
        <f>B76</f>
        <v>1380</v>
      </c>
      <c r="Q77" s="131" t="e">
        <f>$A76</f>
        <v>#N/A</v>
      </c>
      <c r="R77" s="131">
        <v>2</v>
      </c>
      <c r="S77" s="131" t="e">
        <f>$A76</f>
        <v>#N/A</v>
      </c>
      <c r="T77" s="236"/>
      <c r="U77" s="236"/>
      <c r="V77" s="236"/>
      <c r="W77" s="236"/>
      <c r="X77" s="236"/>
      <c r="Y77" s="236"/>
      <c r="Z77" s="236"/>
      <c r="AB77" s="86"/>
      <c r="AC77" s="131"/>
      <c r="AD77" s="131"/>
    </row>
    <row r="78" spans="1:30" s="123" customFormat="1" ht="13.2" customHeight="1" x14ac:dyDescent="0.35">
      <c r="A78" s="86"/>
      <c r="B78" s="86"/>
      <c r="C78" s="241" t="e">
        <f>VLOOKUP(B76,Уч!$A$2:$L$16,7,FALSE)</f>
        <v>#N/A</v>
      </c>
      <c r="D78" s="242"/>
      <c r="E78" s="237" t="s">
        <v>70</v>
      </c>
      <c r="F78" s="243" t="e">
        <f>VLOOKUP($B76,'110 сб '!$C$17:$I$87,7,FALSE)</f>
        <v>#N/A</v>
      </c>
      <c r="G78" s="243" t="e">
        <f>VLOOKUP($B76,высота!$C$17:$AF$42,30,FALSE)</f>
        <v>#N/A</v>
      </c>
      <c r="H78" s="243" t="e">
        <f>VLOOKUP($B76,ядро!$C$17:$K$43,9,FALSE)</f>
        <v>#N/A</v>
      </c>
      <c r="I78" s="243" t="e">
        <f>VLOOKUP($B76,'2_р'!$C$17:$I$68,7,FALSE)</f>
        <v>#N/A</v>
      </c>
      <c r="J78" s="243" t="e">
        <f>VLOOKUP($B76,Дл_р!$C$17:$O$43,13,FALSE)</f>
        <v>#N/A</v>
      </c>
      <c r="K78" s="243" t="e">
        <f>VLOOKUP($B76,К_р!$C$18:$K$31,9,FALSE)</f>
        <v>#N/A</v>
      </c>
      <c r="L78" s="240" t="e">
        <f>VLOOKUP($B76,'8_р'!$C$17:$H$77,6,FALSE)</f>
        <v>#N/A</v>
      </c>
      <c r="M78" s="152"/>
      <c r="N78" s="244"/>
      <c r="O78" s="152"/>
      <c r="P78" s="243">
        <f>B76</f>
        <v>1380</v>
      </c>
      <c r="Q78" s="131" t="e">
        <f>$A76</f>
        <v>#N/A</v>
      </c>
      <c r="R78" s="131">
        <v>3</v>
      </c>
      <c r="S78" s="131" t="e">
        <f>$A76</f>
        <v>#N/A</v>
      </c>
      <c r="T78" s="236"/>
      <c r="U78" s="236"/>
      <c r="V78" s="236"/>
      <c r="W78" s="236"/>
      <c r="X78" s="236"/>
      <c r="Y78" s="236"/>
      <c r="Z78" s="236"/>
      <c r="AB78" s="86"/>
      <c r="AC78" s="131"/>
      <c r="AD78" s="131"/>
    </row>
    <row r="79" spans="1:30" s="123" customFormat="1" ht="13.2" customHeight="1" x14ac:dyDescent="0.35">
      <c r="A79" s="86"/>
      <c r="B79" s="86"/>
      <c r="C79" s="241" t="e">
        <f>VLOOKUP(B76,Уч!$A$2:$L$16,11,FALSE)</f>
        <v>#N/A</v>
      </c>
      <c r="D79" s="131"/>
      <c r="E79" s="237" t="s">
        <v>77</v>
      </c>
      <c r="F79" s="243" t="e">
        <f>F78</f>
        <v>#N/A</v>
      </c>
      <c r="G79" s="243" t="e">
        <f t="shared" ref="G79:L79" si="22">F79+G78</f>
        <v>#N/A</v>
      </c>
      <c r="H79" s="243" t="e">
        <f t="shared" si="22"/>
        <v>#N/A</v>
      </c>
      <c r="I79" s="243" t="e">
        <f t="shared" si="22"/>
        <v>#N/A</v>
      </c>
      <c r="J79" s="243" t="e">
        <f t="shared" si="22"/>
        <v>#N/A</v>
      </c>
      <c r="K79" s="243" t="e">
        <f t="shared" si="22"/>
        <v>#N/A</v>
      </c>
      <c r="L79" s="240" t="e">
        <f t="shared" si="22"/>
        <v>#N/A</v>
      </c>
      <c r="M79" s="152"/>
      <c r="N79" s="244"/>
      <c r="O79" s="152"/>
      <c r="P79" s="243">
        <f>B76</f>
        <v>1380</v>
      </c>
      <c r="Q79" s="131" t="e">
        <f>$A76</f>
        <v>#N/A</v>
      </c>
      <c r="R79" s="131">
        <v>4</v>
      </c>
      <c r="S79" s="131" t="e">
        <f>$A76</f>
        <v>#N/A</v>
      </c>
      <c r="T79" s="152" t="e">
        <f t="shared" ref="T79:Z79" si="23">F79</f>
        <v>#N/A</v>
      </c>
      <c r="U79" s="152" t="e">
        <f t="shared" si="23"/>
        <v>#N/A</v>
      </c>
      <c r="V79" s="152" t="e">
        <f t="shared" si="23"/>
        <v>#N/A</v>
      </c>
      <c r="W79" s="152" t="e">
        <f t="shared" si="23"/>
        <v>#N/A</v>
      </c>
      <c r="X79" s="152" t="e">
        <f t="shared" si="23"/>
        <v>#N/A</v>
      </c>
      <c r="Y79" s="152" t="e">
        <f t="shared" si="23"/>
        <v>#N/A</v>
      </c>
      <c r="Z79" s="152" t="e">
        <f t="shared" si="23"/>
        <v>#N/A</v>
      </c>
      <c r="AB79" s="86"/>
      <c r="AC79" s="131"/>
      <c r="AD79" s="131"/>
    </row>
    <row r="80" spans="1:30" s="123" customFormat="1" ht="13.2" customHeight="1" thickBot="1" x14ac:dyDescent="0.4">
      <c r="A80" s="245"/>
      <c r="B80" s="245"/>
      <c r="C80" s="246" t="e">
        <f>VLOOKUP(B76,Уч!$A$2:$L$16,12,FALSE)</f>
        <v>#N/A</v>
      </c>
      <c r="D80" s="247"/>
      <c r="E80" s="248" t="s">
        <v>37</v>
      </c>
      <c r="F80" s="249" t="e">
        <f>RANK(F79,$T$16:$T$50,0)</f>
        <v>#N/A</v>
      </c>
      <c r="G80" s="249" t="e">
        <f>RANK(G79,$U$16:$U$50,0)</f>
        <v>#N/A</v>
      </c>
      <c r="H80" s="249" t="e">
        <f>RANK(H79,$V$16:$V$50,0)</f>
        <v>#N/A</v>
      </c>
      <c r="I80" s="249" t="e">
        <f>RANK(I79,$W$16:$W$50,0)</f>
        <v>#N/A</v>
      </c>
      <c r="J80" s="249" t="e">
        <f>RANK(J79,$X$16:$X$50,0)</f>
        <v>#N/A</v>
      </c>
      <c r="K80" s="249" t="e">
        <f>RANK(K79,$Y$16:$Y$50,0)</f>
        <v>#N/A</v>
      </c>
      <c r="L80" s="250" t="e">
        <f>RANK(L79,$Z$16:$Z$50,0)</f>
        <v>#N/A</v>
      </c>
      <c r="M80" s="251"/>
      <c r="N80" s="252"/>
      <c r="O80" s="251"/>
      <c r="P80" s="243">
        <f>B76</f>
        <v>1380</v>
      </c>
      <c r="Q80" s="131" t="e">
        <f>$A76</f>
        <v>#N/A</v>
      </c>
      <c r="R80" s="131">
        <v>5</v>
      </c>
      <c r="S80" s="131" t="e">
        <f>$A76</f>
        <v>#N/A</v>
      </c>
      <c r="T80" s="236"/>
      <c r="U80" s="236"/>
      <c r="V80" s="236"/>
      <c r="W80" s="236"/>
      <c r="X80" s="236"/>
      <c r="Y80" s="236"/>
      <c r="Z80" s="236"/>
      <c r="AB80" s="86"/>
      <c r="AC80" s="131"/>
      <c r="AD80" s="131"/>
    </row>
    <row r="81" spans="1:30" s="123" customFormat="1" ht="13.2" customHeight="1" thickTop="1" x14ac:dyDescent="0.35">
      <c r="A81" s="86" t="e">
        <f>RANK(M81,$M$16:$M$50,0)</f>
        <v>#N/A</v>
      </c>
      <c r="B81" s="86">
        <v>1416</v>
      </c>
      <c r="C81" s="123" t="e">
        <f>VLOOKUP(B81,Уч!$A$2:$L$16,2,FALSE)</f>
        <v>#N/A</v>
      </c>
      <c r="D81" s="231" t="e">
        <f>VLOOKUP(B81,Уч!$A$2:$L$16,3,FALSE)</f>
        <v>#N/A</v>
      </c>
      <c r="E81" s="232" t="s">
        <v>28</v>
      </c>
      <c r="F81" s="233" t="e">
        <f>VLOOKUP($B81,'110 сб '!$C$17:$I$87,5,FALSE)</f>
        <v>#N/A</v>
      </c>
      <c r="G81" s="233" t="e">
        <f>VLOOKUP($B81,высота!$C$17:$AF$42,29,FALSE)</f>
        <v>#N/A</v>
      </c>
      <c r="H81" s="233">
        <f>VLOOKUP($B81,ядро!$C$17:$K$43,8,FALSE)</f>
        <v>0</v>
      </c>
      <c r="I81" s="233" t="e">
        <f>VLOOKUP($B81,'2_р'!$C$17:$I$68,5,FALSE)</f>
        <v>#N/A</v>
      </c>
      <c r="J81" s="233" t="e">
        <f>VLOOKUP($B81,Дл_р!$C$17:$O$43,11,FALSE)</f>
        <v>#N/A</v>
      </c>
      <c r="K81" s="233" t="e">
        <f>VLOOKUP($B81,К_р!$C$18:$K$31,8,FALSE)</f>
        <v>#N/A</v>
      </c>
      <c r="L81" s="234" t="e">
        <f>VLOOKUP($B81,'8_р'!$C$17:$H$77,5,FALSE)</f>
        <v>#N/A</v>
      </c>
      <c r="M81" s="15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1416</v>
      </c>
      <c r="Q81" s="131" t="e">
        <f>$A81</f>
        <v>#N/A</v>
      </c>
      <c r="R81" s="131">
        <v>1</v>
      </c>
      <c r="S81" s="131" t="e">
        <f>$A81</f>
        <v>#N/A</v>
      </c>
      <c r="T81" s="236"/>
      <c r="U81" s="236"/>
      <c r="V81" s="236"/>
      <c r="W81" s="236"/>
      <c r="X81" s="236"/>
      <c r="Y81" s="236"/>
      <c r="Z81" s="236"/>
      <c r="AB81" s="86"/>
      <c r="AC81" s="131" t="e">
        <f>IF(AND(Q81&gt;16,M81&gt;=4600),"1",LOOKUP(Q81,Q$5:AH$5,Q$6:AH$6))</f>
        <v>#N/A</v>
      </c>
      <c r="AD81" s="131" t="e">
        <f>LOOKUP(N81,R$8:W$8,R$9:W$9)</f>
        <v>#N/A</v>
      </c>
    </row>
    <row r="82" spans="1:30" s="123" customFormat="1" ht="13.2" customHeight="1" x14ac:dyDescent="0.35">
      <c r="A82" s="86"/>
      <c r="B82" s="86"/>
      <c r="C82" s="123" t="e">
        <f>VLOOKUP(B81,Уч!$A$2:$L$16,5,FALSE)</f>
        <v>#N/A</v>
      </c>
      <c r="D82" s="231" t="e">
        <f>VLOOKUP(B81,Уч!$A$2:$L$16,4,FALSE)</f>
        <v>#N/A</v>
      </c>
      <c r="E82" s="237" t="s">
        <v>79</v>
      </c>
      <c r="F82" s="238" t="e">
        <f>VLOOKUP($B81,'110 сб '!$C$17:$I$87,6,FALSE)</f>
        <v>#N/A</v>
      </c>
      <c r="G82" s="239"/>
      <c r="H82" s="239"/>
      <c r="I82" s="238" t="e">
        <f>VLOOKUP($B81,'2_р'!$C$17:$I$68,6,FALSE)</f>
        <v>#N/A</v>
      </c>
      <c r="J82" s="238" t="e">
        <f>VLOOKUP($B81,Дл_р!$C$17:$O$43,12,FALSE)</f>
        <v>#N/A</v>
      </c>
      <c r="K82" s="239"/>
      <c r="L82" s="240"/>
      <c r="M82" s="152"/>
      <c r="N82" s="86"/>
      <c r="O82" s="86" t="e">
        <f>CONCATENATE(AC81,"+",AD81,"+",5)</f>
        <v>#N/A</v>
      </c>
      <c r="P82" s="86">
        <f>B81</f>
        <v>1416</v>
      </c>
      <c r="Q82" s="131" t="e">
        <f>$A81</f>
        <v>#N/A</v>
      </c>
      <c r="R82" s="131">
        <v>2</v>
      </c>
      <c r="S82" s="131" t="e">
        <f>$A81</f>
        <v>#N/A</v>
      </c>
      <c r="T82" s="236"/>
      <c r="U82" s="236"/>
      <c r="V82" s="236"/>
      <c r="W82" s="236"/>
      <c r="X82" s="236"/>
      <c r="Y82" s="236"/>
      <c r="Z82" s="236"/>
      <c r="AB82" s="86"/>
      <c r="AC82" s="131"/>
      <c r="AD82" s="131"/>
    </row>
    <row r="83" spans="1:30" s="123" customFormat="1" ht="13.2" customHeight="1" x14ac:dyDescent="0.35">
      <c r="A83" s="86"/>
      <c r="B83" s="86"/>
      <c r="C83" s="241" t="e">
        <f>VLOOKUP(B81,Уч!$A$2:$L$16,7,FALSE)</f>
        <v>#N/A</v>
      </c>
      <c r="D83" s="242"/>
      <c r="E83" s="237" t="s">
        <v>70</v>
      </c>
      <c r="F83" s="243" t="e">
        <f>VLOOKUP($B81,'110 сб '!$C$17:$I$87,7,FALSE)</f>
        <v>#N/A</v>
      </c>
      <c r="G83" s="243" t="e">
        <f>VLOOKUP($B81,высота!$C$17:$AF$42,30,FALSE)</f>
        <v>#N/A</v>
      </c>
      <c r="H83" s="243">
        <f>VLOOKUP($B81,ядро!$C$17:$K$43,9,FALSE)</f>
        <v>0</v>
      </c>
      <c r="I83" s="243" t="e">
        <f>VLOOKUP($B81,'2_р'!$C$17:$I$68,7,FALSE)</f>
        <v>#N/A</v>
      </c>
      <c r="J83" s="243" t="e">
        <f>VLOOKUP($B81,Дл_р!$C$17:$O$43,13,FALSE)</f>
        <v>#N/A</v>
      </c>
      <c r="K83" s="243" t="e">
        <f>VLOOKUP($B81,К_р!$C$18:$K$31,9,FALSE)</f>
        <v>#N/A</v>
      </c>
      <c r="L83" s="240" t="e">
        <f>VLOOKUP($B81,'8_р'!$C$17:$H$77,6,FALSE)</f>
        <v>#N/A</v>
      </c>
      <c r="M83" s="152"/>
      <c r="N83" s="244"/>
      <c r="O83" s="152"/>
      <c r="P83" s="243">
        <f>B81</f>
        <v>1416</v>
      </c>
      <c r="Q83" s="131" t="e">
        <f>$A81</f>
        <v>#N/A</v>
      </c>
      <c r="R83" s="131">
        <v>3</v>
      </c>
      <c r="S83" s="131" t="e">
        <f>$A81</f>
        <v>#N/A</v>
      </c>
      <c r="T83" s="236"/>
      <c r="U83" s="236"/>
      <c r="V83" s="236"/>
      <c r="W83" s="236"/>
      <c r="X83" s="236"/>
      <c r="Y83" s="236"/>
      <c r="Z83" s="236"/>
      <c r="AB83" s="86"/>
      <c r="AC83" s="131"/>
      <c r="AD83" s="131"/>
    </row>
    <row r="84" spans="1:30" s="123" customFormat="1" ht="13.2" customHeight="1" x14ac:dyDescent="0.35">
      <c r="A84" s="86"/>
      <c r="B84" s="86"/>
      <c r="C84" s="241" t="e">
        <f>VLOOKUP(B81,Уч!$A$2:$L$16,11,FALSE)</f>
        <v>#N/A</v>
      </c>
      <c r="D84" s="131"/>
      <c r="E84" s="237" t="s">
        <v>77</v>
      </c>
      <c r="F84" s="243" t="e">
        <f>F83</f>
        <v>#N/A</v>
      </c>
      <c r="G84" s="243" t="e">
        <f t="shared" ref="G84:L84" si="24">F84+G83</f>
        <v>#N/A</v>
      </c>
      <c r="H84" s="243" t="e">
        <f t="shared" si="24"/>
        <v>#N/A</v>
      </c>
      <c r="I84" s="243" t="e">
        <f t="shared" si="24"/>
        <v>#N/A</v>
      </c>
      <c r="J84" s="243" t="e">
        <f t="shared" si="24"/>
        <v>#N/A</v>
      </c>
      <c r="K84" s="243" t="e">
        <f t="shared" si="24"/>
        <v>#N/A</v>
      </c>
      <c r="L84" s="240" t="e">
        <f t="shared" si="24"/>
        <v>#N/A</v>
      </c>
      <c r="M84" s="152"/>
      <c r="N84" s="244"/>
      <c r="O84" s="152"/>
      <c r="P84" s="243">
        <f>B81</f>
        <v>1416</v>
      </c>
      <c r="Q84" s="131" t="e">
        <f>$A81</f>
        <v>#N/A</v>
      </c>
      <c r="R84" s="131">
        <v>4</v>
      </c>
      <c r="S84" s="131" t="e">
        <f>$A81</f>
        <v>#N/A</v>
      </c>
      <c r="T84" s="152" t="e">
        <f t="shared" ref="T84:Z84" si="25">F84</f>
        <v>#N/A</v>
      </c>
      <c r="U84" s="152" t="e">
        <f t="shared" si="25"/>
        <v>#N/A</v>
      </c>
      <c r="V84" s="152" t="e">
        <f t="shared" si="25"/>
        <v>#N/A</v>
      </c>
      <c r="W84" s="152" t="e">
        <f t="shared" si="25"/>
        <v>#N/A</v>
      </c>
      <c r="X84" s="152" t="e">
        <f t="shared" si="25"/>
        <v>#N/A</v>
      </c>
      <c r="Y84" s="152" t="e">
        <f t="shared" si="25"/>
        <v>#N/A</v>
      </c>
      <c r="Z84" s="152" t="e">
        <f t="shared" si="25"/>
        <v>#N/A</v>
      </c>
      <c r="AB84" s="86"/>
      <c r="AC84" s="131"/>
      <c r="AD84" s="131"/>
    </row>
    <row r="85" spans="1:30" s="123" customFormat="1" ht="13.2" customHeight="1" thickBot="1" x14ac:dyDescent="0.4">
      <c r="A85" s="245"/>
      <c r="B85" s="245"/>
      <c r="C85" s="246" t="e">
        <f>VLOOKUP(B81,Уч!$A$2:$L$16,12,FALSE)</f>
        <v>#N/A</v>
      </c>
      <c r="D85" s="247"/>
      <c r="E85" s="248" t="s">
        <v>37</v>
      </c>
      <c r="F85" s="249" t="e">
        <f>RANK(F84,$T$16:$T$50,0)</f>
        <v>#N/A</v>
      </c>
      <c r="G85" s="249" t="e">
        <f>RANK(G84,$U$16:$U$50,0)</f>
        <v>#N/A</v>
      </c>
      <c r="H85" s="249" t="e">
        <f>RANK(H84,$V$16:$V$50,0)</f>
        <v>#N/A</v>
      </c>
      <c r="I85" s="249" t="e">
        <f>RANK(I84,$W$16:$W$50,0)</f>
        <v>#N/A</v>
      </c>
      <c r="J85" s="249" t="e">
        <f>RANK(J84,$X$16:$X$50,0)</f>
        <v>#N/A</v>
      </c>
      <c r="K85" s="249" t="e">
        <f>RANK(K84,$Y$16:$Y$50,0)</f>
        <v>#N/A</v>
      </c>
      <c r="L85" s="250" t="e">
        <f>RANK(L84,$Z$16:$Z$50,0)</f>
        <v>#N/A</v>
      </c>
      <c r="M85" s="251"/>
      <c r="N85" s="252"/>
      <c r="O85" s="251"/>
      <c r="P85" s="243">
        <f>B81</f>
        <v>1416</v>
      </c>
      <c r="Q85" s="131" t="e">
        <f>$A81</f>
        <v>#N/A</v>
      </c>
      <c r="R85" s="131">
        <v>5</v>
      </c>
      <c r="S85" s="131" t="e">
        <f>$A81</f>
        <v>#N/A</v>
      </c>
      <c r="T85" s="236"/>
      <c r="U85" s="236"/>
      <c r="V85" s="236"/>
      <c r="W85" s="236"/>
      <c r="X85" s="236"/>
      <c r="Y85" s="236"/>
      <c r="Z85" s="236"/>
      <c r="AB85" s="86"/>
      <c r="AC85" s="131"/>
      <c r="AD85" s="131"/>
    </row>
    <row r="86" spans="1:30" s="123" customFormat="1" ht="13.2" customHeight="1" thickTop="1" x14ac:dyDescent="0.35">
      <c r="A86" s="86" t="e">
        <f>RANK(M86,$M$16:$M$50,0)</f>
        <v>#N/A</v>
      </c>
      <c r="B86" s="86">
        <v>1367</v>
      </c>
      <c r="C86" s="123" t="e">
        <f>VLOOKUP(B86,Уч!$A$2:$L$16,2,FALSE)</f>
        <v>#N/A</v>
      </c>
      <c r="D86" s="231" t="e">
        <f>VLOOKUP(B86,Уч!$A$2:$L$16,3,FALSE)</f>
        <v>#N/A</v>
      </c>
      <c r="E86" s="232" t="s">
        <v>28</v>
      </c>
      <c r="F86" s="233" t="e">
        <f>VLOOKUP($B86,'110 сб '!$C$17:$I$87,5,FALSE)</f>
        <v>#N/A</v>
      </c>
      <c r="G86" s="233" t="e">
        <f>VLOOKUP($B86,высота!$C$17:$AF$42,29,FALSE)</f>
        <v>#N/A</v>
      </c>
      <c r="H86" s="233" t="e">
        <f>VLOOKUP($B86,ядро!$C$17:$K$43,8,FALSE)</f>
        <v>#N/A</v>
      </c>
      <c r="I86" s="233" t="e">
        <f>VLOOKUP($B86,'2_р'!$C$17:$I$68,5,FALSE)</f>
        <v>#N/A</v>
      </c>
      <c r="J86" s="233" t="e">
        <f>VLOOKUP($B86,Дл_р!$C$17:$O$43,11,FALSE)</f>
        <v>#N/A</v>
      </c>
      <c r="K86" s="233" t="e">
        <f>VLOOKUP($B86,К_р!$C$18:$K$31,8,FALSE)</f>
        <v>#N/A</v>
      </c>
      <c r="L86" s="234" t="e">
        <f>VLOOKUP($B86,'8_р'!$C$17:$H$77,5,FALSE)</f>
        <v>#N/A</v>
      </c>
      <c r="M86" s="15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1367</v>
      </c>
      <c r="Q86" s="131" t="e">
        <f>$A86</f>
        <v>#N/A</v>
      </c>
      <c r="R86" s="131">
        <v>1</v>
      </c>
      <c r="S86" s="131" t="e">
        <f>$A86</f>
        <v>#N/A</v>
      </c>
      <c r="T86" s="236"/>
      <c r="U86" s="236"/>
      <c r="V86" s="236"/>
      <c r="W86" s="236"/>
      <c r="X86" s="236"/>
      <c r="Y86" s="236"/>
      <c r="Z86" s="236"/>
      <c r="AB86" s="86"/>
      <c r="AC86" s="131" t="e">
        <f>IF(AND(Q86&gt;16,M86&gt;=4600),"1",LOOKUP(Q86,Q$5:AH$5,Q$6:AH$6))</f>
        <v>#N/A</v>
      </c>
      <c r="AD86" s="131" t="e">
        <f>LOOKUP(N86,R$8:W$8,R$9:W$9)</f>
        <v>#N/A</v>
      </c>
    </row>
    <row r="87" spans="1:30" s="123" customFormat="1" ht="13.2" customHeight="1" x14ac:dyDescent="0.35">
      <c r="A87" s="86"/>
      <c r="B87" s="86"/>
      <c r="C87" s="123" t="e">
        <f>VLOOKUP(B86,Уч!$A$2:$L$16,5,FALSE)</f>
        <v>#N/A</v>
      </c>
      <c r="D87" s="231" t="e">
        <f>VLOOKUP(B86,Уч!$A$2:$L$16,4,FALSE)</f>
        <v>#N/A</v>
      </c>
      <c r="E87" s="237" t="s">
        <v>79</v>
      </c>
      <c r="F87" s="238" t="e">
        <f>VLOOKUP($B86,'110 сб '!$C$17:$I$87,6,FALSE)</f>
        <v>#N/A</v>
      </c>
      <c r="G87" s="239"/>
      <c r="H87" s="239"/>
      <c r="I87" s="238" t="e">
        <f>VLOOKUP($B86,'2_р'!$C$17:$I$68,6,FALSE)</f>
        <v>#N/A</v>
      </c>
      <c r="J87" s="238" t="e">
        <f>VLOOKUP($B86,Дл_р!$C$17:$O$43,12,FALSE)</f>
        <v>#N/A</v>
      </c>
      <c r="K87" s="239"/>
      <c r="L87" s="240"/>
      <c r="M87" s="152"/>
      <c r="N87" s="86"/>
      <c r="O87" s="86" t="e">
        <f>CONCATENATE(AC86,"+",AD86,"+",5)</f>
        <v>#N/A</v>
      </c>
      <c r="P87" s="86">
        <f>B86</f>
        <v>1367</v>
      </c>
      <c r="Q87" s="131" t="e">
        <f>$A86</f>
        <v>#N/A</v>
      </c>
      <c r="R87" s="131">
        <v>2</v>
      </c>
      <c r="S87" s="131" t="e">
        <f>$A86</f>
        <v>#N/A</v>
      </c>
      <c r="T87" s="236"/>
      <c r="U87" s="236"/>
      <c r="V87" s="236"/>
      <c r="W87" s="236"/>
      <c r="X87" s="236"/>
      <c r="Y87" s="236"/>
      <c r="Z87" s="236"/>
      <c r="AB87" s="86"/>
      <c r="AC87" s="131"/>
      <c r="AD87" s="131"/>
    </row>
    <row r="88" spans="1:30" s="123" customFormat="1" ht="13.2" customHeight="1" x14ac:dyDescent="0.35">
      <c r="A88" s="86"/>
      <c r="B88" s="86"/>
      <c r="C88" s="241" t="e">
        <f>VLOOKUP(B86,Уч!$A$2:$L$16,7,FALSE)</f>
        <v>#N/A</v>
      </c>
      <c r="D88" s="242"/>
      <c r="E88" s="237" t="s">
        <v>70</v>
      </c>
      <c r="F88" s="243" t="e">
        <f>VLOOKUP($B86,'110 сб '!$C$17:$I$87,7,FALSE)</f>
        <v>#N/A</v>
      </c>
      <c r="G88" s="243" t="e">
        <f>VLOOKUP($B86,высота!$C$17:$AF$42,30,FALSE)</f>
        <v>#N/A</v>
      </c>
      <c r="H88" s="243" t="e">
        <f>VLOOKUP($B86,ядро!$C$17:$K$43,9,FALSE)</f>
        <v>#N/A</v>
      </c>
      <c r="I88" s="243" t="e">
        <f>VLOOKUP($B86,'2_р'!$C$17:$I$68,7,FALSE)</f>
        <v>#N/A</v>
      </c>
      <c r="J88" s="243" t="e">
        <f>VLOOKUP($B86,Дл_р!$C$17:$O$43,13,FALSE)</f>
        <v>#N/A</v>
      </c>
      <c r="K88" s="243" t="e">
        <f>VLOOKUP($B86,К_р!$C$18:$K$31,9,FALSE)</f>
        <v>#N/A</v>
      </c>
      <c r="L88" s="240" t="e">
        <f>VLOOKUP($B86,'8_р'!$C$17:$H$77,6,FALSE)</f>
        <v>#N/A</v>
      </c>
      <c r="M88" s="152"/>
      <c r="N88" s="244"/>
      <c r="O88" s="152"/>
      <c r="P88" s="243">
        <f>B86</f>
        <v>1367</v>
      </c>
      <c r="Q88" s="131" t="e">
        <f>$A86</f>
        <v>#N/A</v>
      </c>
      <c r="R88" s="131">
        <v>3</v>
      </c>
      <c r="S88" s="131" t="e">
        <f>$A86</f>
        <v>#N/A</v>
      </c>
      <c r="T88" s="236"/>
      <c r="U88" s="236"/>
      <c r="V88" s="236"/>
      <c r="W88" s="236"/>
      <c r="X88" s="236"/>
      <c r="Y88" s="236"/>
      <c r="Z88" s="236"/>
      <c r="AB88" s="86"/>
      <c r="AC88" s="131"/>
      <c r="AD88" s="131"/>
    </row>
    <row r="89" spans="1:30" s="123" customFormat="1" ht="13.2" customHeight="1" x14ac:dyDescent="0.35">
      <c r="A89" s="86"/>
      <c r="B89" s="86"/>
      <c r="C89" s="241" t="e">
        <f>VLOOKUP(B86,Уч!$A$2:$L$16,11,FALSE)</f>
        <v>#N/A</v>
      </c>
      <c r="D89" s="131"/>
      <c r="E89" s="237" t="s">
        <v>77</v>
      </c>
      <c r="F89" s="243" t="e">
        <f>F88</f>
        <v>#N/A</v>
      </c>
      <c r="G89" s="243" t="e">
        <f t="shared" ref="G89:L89" si="26">F89+G88</f>
        <v>#N/A</v>
      </c>
      <c r="H89" s="243" t="e">
        <f t="shared" si="26"/>
        <v>#N/A</v>
      </c>
      <c r="I89" s="243" t="e">
        <f t="shared" si="26"/>
        <v>#N/A</v>
      </c>
      <c r="J89" s="243" t="e">
        <f t="shared" si="26"/>
        <v>#N/A</v>
      </c>
      <c r="K89" s="243" t="e">
        <f t="shared" si="26"/>
        <v>#N/A</v>
      </c>
      <c r="L89" s="240" t="e">
        <f t="shared" si="26"/>
        <v>#N/A</v>
      </c>
      <c r="M89" s="152"/>
      <c r="N89" s="244"/>
      <c r="O89" s="152"/>
      <c r="P89" s="243">
        <f>B86</f>
        <v>1367</v>
      </c>
      <c r="Q89" s="131" t="e">
        <f>$A86</f>
        <v>#N/A</v>
      </c>
      <c r="R89" s="131">
        <v>4</v>
      </c>
      <c r="S89" s="131" t="e">
        <f>$A86</f>
        <v>#N/A</v>
      </c>
      <c r="T89" s="152" t="e">
        <f t="shared" ref="T89:Z89" si="27">F89</f>
        <v>#N/A</v>
      </c>
      <c r="U89" s="152" t="e">
        <f t="shared" si="27"/>
        <v>#N/A</v>
      </c>
      <c r="V89" s="152" t="e">
        <f t="shared" si="27"/>
        <v>#N/A</v>
      </c>
      <c r="W89" s="152" t="e">
        <f t="shared" si="27"/>
        <v>#N/A</v>
      </c>
      <c r="X89" s="152" t="e">
        <f t="shared" si="27"/>
        <v>#N/A</v>
      </c>
      <c r="Y89" s="152" t="e">
        <f t="shared" si="27"/>
        <v>#N/A</v>
      </c>
      <c r="Z89" s="152" t="e">
        <f t="shared" si="27"/>
        <v>#N/A</v>
      </c>
      <c r="AB89" s="86"/>
      <c r="AC89" s="131"/>
      <c r="AD89" s="131"/>
    </row>
    <row r="90" spans="1:30" s="123" customFormat="1" ht="13.2" customHeight="1" thickBot="1" x14ac:dyDescent="0.4">
      <c r="A90" s="245"/>
      <c r="B90" s="245"/>
      <c r="C90" s="246" t="e">
        <f>VLOOKUP(B86,Уч!$A$2:$L$16,12,FALSE)</f>
        <v>#N/A</v>
      </c>
      <c r="D90" s="247"/>
      <c r="E90" s="248" t="s">
        <v>37</v>
      </c>
      <c r="F90" s="249" t="e">
        <f>RANK(F89,$T$16:$T$50,0)</f>
        <v>#N/A</v>
      </c>
      <c r="G90" s="249" t="e">
        <f>RANK(G89,$U$16:$U$50,0)</f>
        <v>#N/A</v>
      </c>
      <c r="H90" s="249" t="e">
        <f>RANK(H89,$V$16:$V$50,0)</f>
        <v>#N/A</v>
      </c>
      <c r="I90" s="249" t="e">
        <f>RANK(I89,$W$16:$W$50,0)</f>
        <v>#N/A</v>
      </c>
      <c r="J90" s="249" t="e">
        <f>RANK(J89,$X$16:$X$50,0)</f>
        <v>#N/A</v>
      </c>
      <c r="K90" s="249" t="e">
        <f>RANK(K89,$Y$16:$Y$50,0)</f>
        <v>#N/A</v>
      </c>
      <c r="L90" s="250" t="e">
        <f>RANK(L89,$Z$16:$Z$50,0)</f>
        <v>#N/A</v>
      </c>
      <c r="M90" s="251"/>
      <c r="N90" s="252"/>
      <c r="O90" s="251"/>
      <c r="P90" s="243">
        <f>B86</f>
        <v>1367</v>
      </c>
      <c r="Q90" s="131" t="e">
        <f>$A86</f>
        <v>#N/A</v>
      </c>
      <c r="R90" s="131">
        <v>5</v>
      </c>
      <c r="S90" s="131" t="e">
        <f>$A86</f>
        <v>#N/A</v>
      </c>
      <c r="T90" s="236"/>
      <c r="U90" s="236"/>
      <c r="V90" s="236"/>
      <c r="W90" s="236"/>
      <c r="X90" s="236"/>
      <c r="Y90" s="236"/>
      <c r="Z90" s="236"/>
      <c r="AB90" s="86"/>
      <c r="AC90" s="131"/>
      <c r="AD90" s="131"/>
    </row>
    <row r="91" spans="1:30" s="123" customFormat="1" ht="13.2" customHeight="1" thickTop="1" x14ac:dyDescent="0.35">
      <c r="A91" s="86"/>
      <c r="B91" s="86"/>
      <c r="C91" s="241"/>
      <c r="D91" s="242"/>
      <c r="E91" s="264"/>
      <c r="F91" s="243"/>
      <c r="G91" s="243"/>
      <c r="H91" s="243"/>
      <c r="I91" s="243"/>
      <c r="J91" s="243"/>
      <c r="K91" s="243"/>
      <c r="L91" s="243"/>
      <c r="M91" s="152"/>
      <c r="N91" s="244"/>
      <c r="O91" s="152"/>
      <c r="P91" s="243"/>
      <c r="Q91" s="131"/>
      <c r="R91" s="131"/>
      <c r="S91" s="131"/>
      <c r="T91" s="236"/>
      <c r="U91" s="236"/>
      <c r="V91" s="236"/>
      <c r="W91" s="236"/>
      <c r="X91" s="236"/>
      <c r="Y91" s="236"/>
      <c r="Z91" s="236"/>
      <c r="AB91" s="86"/>
      <c r="AC91" s="131"/>
      <c r="AD91" s="131"/>
    </row>
    <row r="92" spans="1:30" s="123" customFormat="1" ht="13.2" customHeight="1" x14ac:dyDescent="0.35">
      <c r="A92" s="86"/>
      <c r="B92" s="86"/>
      <c r="C92" s="123" t="s">
        <v>71</v>
      </c>
      <c r="D92" s="244"/>
      <c r="F92" s="86"/>
      <c r="H92" s="244" t="s">
        <v>85</v>
      </c>
      <c r="J92" s="243"/>
      <c r="K92" s="243"/>
      <c r="L92" s="243"/>
      <c r="M92" s="152"/>
      <c r="N92" s="244"/>
      <c r="O92" s="152"/>
      <c r="P92" s="243"/>
      <c r="Q92" s="131"/>
      <c r="R92" s="131"/>
      <c r="S92" s="131"/>
      <c r="T92" s="236"/>
      <c r="U92" s="236"/>
      <c r="V92" s="236"/>
      <c r="W92" s="236"/>
      <c r="X92" s="236"/>
      <c r="Y92" s="236"/>
      <c r="Z92" s="236"/>
      <c r="AB92" s="86"/>
      <c r="AC92" s="131"/>
      <c r="AD92" s="131"/>
    </row>
    <row r="93" spans="1:30" s="123" customFormat="1" ht="13.2" customHeight="1" x14ac:dyDescent="0.35">
      <c r="A93" s="86"/>
      <c r="B93" s="86"/>
      <c r="D93" s="244"/>
      <c r="F93" s="86"/>
      <c r="H93" s="86"/>
      <c r="J93" s="243"/>
      <c r="K93" s="243"/>
      <c r="L93" s="243"/>
      <c r="M93" s="152"/>
      <c r="N93" s="244"/>
      <c r="O93" s="152"/>
      <c r="P93" s="243"/>
      <c r="Q93" s="131"/>
      <c r="R93" s="131"/>
      <c r="S93" s="131"/>
      <c r="T93" s="236"/>
      <c r="U93" s="236"/>
      <c r="V93" s="236"/>
      <c r="W93" s="236"/>
      <c r="X93" s="236"/>
      <c r="Y93" s="236"/>
      <c r="Z93" s="236"/>
      <c r="AB93" s="86"/>
      <c r="AC93" s="131"/>
      <c r="AD93" s="131"/>
    </row>
    <row r="94" spans="1:30" s="123" customFormat="1" ht="13.2" customHeight="1" thickBot="1" x14ac:dyDescent="0.4">
      <c r="A94" s="86"/>
      <c r="B94" s="86"/>
      <c r="C94" s="123" t="s">
        <v>72</v>
      </c>
      <c r="D94" s="244"/>
      <c r="F94" s="86"/>
      <c r="H94" s="244" t="s">
        <v>86</v>
      </c>
      <c r="J94" s="243"/>
      <c r="K94" s="243"/>
      <c r="L94" s="243"/>
      <c r="M94" s="152"/>
      <c r="N94" s="244"/>
      <c r="O94" s="152"/>
      <c r="P94" s="243"/>
      <c r="Q94" s="131"/>
      <c r="R94" s="131"/>
      <c r="S94" s="131"/>
      <c r="T94" s="236"/>
      <c r="U94" s="236"/>
      <c r="V94" s="236"/>
      <c r="W94" s="236"/>
      <c r="X94" s="236"/>
      <c r="Y94" s="236"/>
      <c r="Z94" s="236"/>
      <c r="AB94" s="86"/>
      <c r="AC94" s="131"/>
      <c r="AD94" s="131"/>
    </row>
    <row r="95" spans="1:30" s="123" customFormat="1" ht="13.2" customHeight="1" outlineLevel="1" thickTop="1" x14ac:dyDescent="0.35">
      <c r="A95" s="68">
        <v>22</v>
      </c>
      <c r="B95" s="86"/>
      <c r="C95" s="123" t="e">
        <f>VLOOKUP(B95,Уч!$A$2:$L$18,2,FALSE)</f>
        <v>#N/A</v>
      </c>
      <c r="D95" s="231" t="e">
        <f>VLOOKUP(B95,Уч!$A$2:$L$18,3,FALSE)</f>
        <v>#N/A</v>
      </c>
      <c r="E95" s="265" t="s">
        <v>28</v>
      </c>
      <c r="F95" s="266" t="e">
        <f>VLOOKUP($B95,'110 сб '!$C$17:$I$87,5,FALSE)</f>
        <v>#N/A</v>
      </c>
      <c r="G95" s="267" t="e">
        <f>VLOOKUP($B95,высота!$C$17:$AF$42,17,FALSE)</f>
        <v>#N/A</v>
      </c>
      <c r="H95" s="267" t="e">
        <f>VLOOKUP($B95,ядро!$C$17:$K$43,8,FALSE)</f>
        <v>#N/A</v>
      </c>
      <c r="I95" s="267" t="e">
        <f>VLOOKUP($B95,'2_р'!$C$17:$I$68,5,FALSE)</f>
        <v>#N/A</v>
      </c>
      <c r="J95" s="267" t="e">
        <f>VLOOKUP($B95,Дл_р!$C$17:$O$43,11,FALSE)</f>
        <v>#N/A</v>
      </c>
      <c r="K95" s="267" t="e">
        <f>VLOOKUP($B95,К_р!$C$18:$K$31,8,FALSE)</f>
        <v>#N/A</v>
      </c>
      <c r="L95" s="268" t="e">
        <f>VLOOKUP($B95,'8_р'!$C$17:$H$77,5,FALSE)</f>
        <v>#N/A</v>
      </c>
      <c r="M95" s="244" t="s">
        <v>78</v>
      </c>
      <c r="N95" s="86"/>
      <c r="O95" s="86"/>
      <c r="P95" s="86"/>
      <c r="Q95" s="131">
        <f>$A95</f>
        <v>22</v>
      </c>
      <c r="R95" s="131">
        <v>1</v>
      </c>
      <c r="S95" s="131"/>
      <c r="T95" s="236"/>
      <c r="U95" s="236"/>
      <c r="V95" s="236"/>
      <c r="W95" s="236"/>
      <c r="X95" s="236"/>
      <c r="Y95" s="236"/>
      <c r="Z95" s="236"/>
      <c r="AB95" s="86"/>
    </row>
    <row r="96" spans="1:30" s="123" customFormat="1" ht="13.2" customHeight="1" outlineLevel="1" x14ac:dyDescent="0.35">
      <c r="A96" s="86"/>
      <c r="B96" s="86"/>
      <c r="C96" s="123" t="e">
        <f>VLOOKUP(B95,Уч!$A$2:$L$18,5,FALSE)</f>
        <v>#N/A</v>
      </c>
      <c r="D96" s="231" t="e">
        <f>VLOOKUP(B95,Уч!$A$2:$L$18,4,FALSE)</f>
        <v>#N/A</v>
      </c>
      <c r="E96" s="269" t="s">
        <v>70</v>
      </c>
      <c r="F96" s="270" t="e">
        <f>VLOOKUP($B95,'110 сб '!$C$17:$I$87,7,FALSE)</f>
        <v>#N/A</v>
      </c>
      <c r="G96" s="271" t="e">
        <f>VLOOKUP($B95,высота!$C$17:$AF$42,18,FALSE)</f>
        <v>#N/A</v>
      </c>
      <c r="H96" s="271" t="e">
        <f>VLOOKUP($B95,ядро!$C$17:$K$43,9,FALSE)</f>
        <v>#N/A</v>
      </c>
      <c r="I96" s="271" t="e">
        <f>VLOOKUP($B95,'2_р'!$C$17:$I$68,7,FALSE)</f>
        <v>#N/A</v>
      </c>
      <c r="J96" s="271" t="e">
        <f>VLOOKUP($B95,Дл_р!$C$17:$O$43,13,FALSE)</f>
        <v>#N/A</v>
      </c>
      <c r="K96" s="271" t="e">
        <f>VLOOKUP($B95,К_р!$C$18:$K$31,9,FALSE)</f>
        <v>#N/A</v>
      </c>
      <c r="L96" s="272" t="e">
        <f>VLOOKUP($B95,'8_р'!$C$17:$H$77,6,FALSE)</f>
        <v>#N/A</v>
      </c>
      <c r="M96" s="152"/>
      <c r="N96" s="244"/>
      <c r="O96" s="152"/>
      <c r="P96" s="243"/>
      <c r="Q96" s="131">
        <f>$A95</f>
        <v>22</v>
      </c>
      <c r="R96" s="131">
        <v>2</v>
      </c>
      <c r="S96" s="131"/>
      <c r="T96" s="236"/>
      <c r="U96" s="236"/>
      <c r="V96" s="236"/>
      <c r="W96" s="236"/>
      <c r="X96" s="236"/>
      <c r="Y96" s="236"/>
      <c r="Z96" s="236"/>
      <c r="AB96" s="86"/>
    </row>
    <row r="97" spans="1:28" s="123" customFormat="1" ht="13.2" customHeight="1" outlineLevel="1" x14ac:dyDescent="0.35">
      <c r="A97" s="86"/>
      <c r="B97" s="86"/>
      <c r="C97" s="241" t="e">
        <f>VLOOKUP(B95,Уч!$A$2:$L$18,7,FALSE)</f>
        <v>#N/A</v>
      </c>
      <c r="D97" s="242"/>
      <c r="E97" s="269" t="s">
        <v>77</v>
      </c>
      <c r="F97" s="270" t="e">
        <f>F96</f>
        <v>#N/A</v>
      </c>
      <c r="G97" s="271" t="e">
        <f t="shared" ref="G97:L97" si="28">F97+G96</f>
        <v>#N/A</v>
      </c>
      <c r="H97" s="271" t="e">
        <f t="shared" si="28"/>
        <v>#N/A</v>
      </c>
      <c r="I97" s="271" t="e">
        <f t="shared" si="28"/>
        <v>#N/A</v>
      </c>
      <c r="J97" s="271" t="e">
        <f t="shared" si="28"/>
        <v>#N/A</v>
      </c>
      <c r="K97" s="271" t="e">
        <f t="shared" si="28"/>
        <v>#N/A</v>
      </c>
      <c r="L97" s="272" t="e">
        <f t="shared" si="28"/>
        <v>#N/A</v>
      </c>
      <c r="M97" s="152"/>
      <c r="N97" s="244"/>
      <c r="O97" s="152"/>
      <c r="P97" s="243"/>
      <c r="Q97" s="131">
        <f>$A95</f>
        <v>22</v>
      </c>
      <c r="R97" s="131">
        <v>3</v>
      </c>
      <c r="S97" s="131"/>
      <c r="T97" s="152" t="e">
        <f t="shared" ref="T97:Z97" si="29">F97</f>
        <v>#N/A</v>
      </c>
      <c r="U97" s="152" t="e">
        <f t="shared" si="29"/>
        <v>#N/A</v>
      </c>
      <c r="V97" s="152" t="e">
        <f t="shared" si="29"/>
        <v>#N/A</v>
      </c>
      <c r="W97" s="152" t="e">
        <f t="shared" si="29"/>
        <v>#N/A</v>
      </c>
      <c r="X97" s="152" t="e">
        <f t="shared" si="29"/>
        <v>#N/A</v>
      </c>
      <c r="Y97" s="152" t="e">
        <f t="shared" si="29"/>
        <v>#N/A</v>
      </c>
      <c r="Z97" s="152" t="e">
        <f t="shared" si="29"/>
        <v>#N/A</v>
      </c>
      <c r="AB97" s="86"/>
    </row>
    <row r="98" spans="1:28" s="123" customFormat="1" ht="13.2" customHeight="1" outlineLevel="1" thickBot="1" x14ac:dyDescent="0.4">
      <c r="A98" s="245"/>
      <c r="B98" s="245"/>
      <c r="C98" s="246" t="e">
        <f>VLOOKUP(B95,Уч!$A$2:$L$18,11,FALSE)</f>
        <v>#N/A</v>
      </c>
      <c r="D98" s="247"/>
      <c r="E98" s="273" t="s">
        <v>37</v>
      </c>
      <c r="F98" s="274" t="e">
        <f>RANK(F97,$T$16:$T$60,0)</f>
        <v>#N/A</v>
      </c>
      <c r="G98" s="275" t="e">
        <f>RANK(G97,$U$16:$U$60,0)</f>
        <v>#N/A</v>
      </c>
      <c r="H98" s="275" t="e">
        <f>RANK(H97,$V$16:$V$60,0)</f>
        <v>#N/A</v>
      </c>
      <c r="I98" s="275" t="e">
        <f>RANK(I97,$W$16:$W$60,0)</f>
        <v>#N/A</v>
      </c>
      <c r="J98" s="275" t="e">
        <f>RANK(J97,$X$16:$X$60,0)</f>
        <v>#N/A</v>
      </c>
      <c r="K98" s="275" t="e">
        <f>RANK(K97,$Y$16:$Y$60,0)</f>
        <v>#N/A</v>
      </c>
      <c r="L98" s="276" t="e">
        <f>RANK(L97,$Z$16:$Z$60,0)</f>
        <v>#N/A</v>
      </c>
      <c r="M98" s="251"/>
      <c r="N98" s="252"/>
      <c r="O98" s="251"/>
      <c r="P98" s="243"/>
      <c r="Q98" s="131">
        <f>$A95</f>
        <v>22</v>
      </c>
      <c r="R98" s="131">
        <v>4</v>
      </c>
      <c r="S98" s="131"/>
      <c r="T98" s="236"/>
      <c r="U98" s="236"/>
      <c r="V98" s="236"/>
      <c r="W98" s="236"/>
      <c r="X98" s="236"/>
      <c r="Y98" s="236"/>
      <c r="Z98" s="236"/>
      <c r="AB98" s="86"/>
    </row>
    <row r="99" spans="1:28" s="123" customFormat="1" ht="13.2" customHeight="1" outlineLevel="1" thickTop="1" x14ac:dyDescent="0.35">
      <c r="A99" s="68">
        <v>23</v>
      </c>
      <c r="B99" s="86"/>
      <c r="C99" s="123" t="e">
        <f>VLOOKUP(B99,Уч!$A$2:$L$18,2,FALSE)</f>
        <v>#N/A</v>
      </c>
      <c r="D99" s="231" t="e">
        <f>VLOOKUP(B99,Уч!$A$2:$L$18,3,FALSE)</f>
        <v>#N/A</v>
      </c>
      <c r="E99" s="265" t="s">
        <v>28</v>
      </c>
      <c r="F99" s="266" t="e">
        <f>VLOOKUP($B99,'110 сб '!$C$17:$I$87,5,FALSE)</f>
        <v>#N/A</v>
      </c>
      <c r="G99" s="267" t="e">
        <f>VLOOKUP($B99,высота!$C$17:$AF$42,17,FALSE)</f>
        <v>#N/A</v>
      </c>
      <c r="H99" s="267" t="e">
        <f>VLOOKUP($B99,ядро!$C$17:$K$43,8,FALSE)</f>
        <v>#N/A</v>
      </c>
      <c r="I99" s="267" t="e">
        <f>VLOOKUP($B99,'2_р'!$C$17:$I$68,5,FALSE)</f>
        <v>#N/A</v>
      </c>
      <c r="J99" s="267" t="e">
        <f>VLOOKUP($B99,Дл_р!$C$17:$O$43,11,FALSE)</f>
        <v>#N/A</v>
      </c>
      <c r="K99" s="267" t="e">
        <f>VLOOKUP($B99,К_р!$C$18:$K$31,8,FALSE)</f>
        <v>#N/A</v>
      </c>
      <c r="L99" s="268" t="e">
        <f>VLOOKUP($B99,'8_р'!$C$17:$H$77,5,FALSE)</f>
        <v>#N/A</v>
      </c>
      <c r="M99" s="244" t="s">
        <v>78</v>
      </c>
      <c r="O99" s="86"/>
      <c r="P99" s="86"/>
      <c r="Q99" s="131">
        <f>$A99</f>
        <v>23</v>
      </c>
      <c r="R99" s="131">
        <v>1</v>
      </c>
      <c r="S99" s="131"/>
      <c r="T99" s="236"/>
      <c r="U99" s="236"/>
      <c r="V99" s="236"/>
      <c r="W99" s="236"/>
      <c r="X99" s="236"/>
      <c r="Y99" s="236"/>
      <c r="Z99" s="236"/>
      <c r="AB99" s="86"/>
    </row>
    <row r="100" spans="1:28" s="123" customFormat="1" ht="13.2" customHeight="1" outlineLevel="1" x14ac:dyDescent="0.35">
      <c r="A100" s="86"/>
      <c r="B100" s="86"/>
      <c r="C100" s="123" t="e">
        <f>VLOOKUP(B99,Уч!$A$2:$L$18,5,FALSE)</f>
        <v>#N/A</v>
      </c>
      <c r="D100" s="231" t="e">
        <f>VLOOKUP(B99,Уч!$A$2:$L$18,4,FALSE)</f>
        <v>#N/A</v>
      </c>
      <c r="E100" s="269" t="s">
        <v>70</v>
      </c>
      <c r="F100" s="270" t="e">
        <f>VLOOKUP($B99,'110 сб '!$C$17:$I$87,7,FALSE)</f>
        <v>#N/A</v>
      </c>
      <c r="G100" s="271" t="e">
        <f>VLOOKUP($B99,высота!$C$17:$AF$42,18,FALSE)</f>
        <v>#N/A</v>
      </c>
      <c r="H100" s="271" t="e">
        <f>VLOOKUP($B99,ядро!$C$17:$K$43,9,FALSE)</f>
        <v>#N/A</v>
      </c>
      <c r="I100" s="271" t="e">
        <f>VLOOKUP($B99,'2_р'!$C$17:$I$68,7,FALSE)</f>
        <v>#N/A</v>
      </c>
      <c r="J100" s="271" t="e">
        <f>VLOOKUP($B99,Дл_р!$C$17:$O$43,13,FALSE)</f>
        <v>#N/A</v>
      </c>
      <c r="K100" s="271" t="e">
        <f>VLOOKUP($B99,К_р!$C$18:$K$31,9,FALSE)</f>
        <v>#N/A</v>
      </c>
      <c r="L100" s="272" t="e">
        <f>VLOOKUP($B99,'8_р'!$C$17:$H$77,6,FALSE)</f>
        <v>#N/A</v>
      </c>
      <c r="M100" s="152"/>
      <c r="N100" s="244"/>
      <c r="O100" s="152"/>
      <c r="P100" s="243"/>
      <c r="Q100" s="131">
        <f>$A99</f>
        <v>23</v>
      </c>
      <c r="R100" s="131">
        <v>2</v>
      </c>
      <c r="S100" s="131"/>
      <c r="T100" s="236"/>
      <c r="U100" s="236"/>
      <c r="V100" s="236"/>
      <c r="W100" s="236"/>
      <c r="X100" s="236"/>
      <c r="Y100" s="236"/>
      <c r="Z100" s="236"/>
      <c r="AB100" s="86"/>
    </row>
    <row r="101" spans="1:28" s="123" customFormat="1" ht="13.2" customHeight="1" outlineLevel="1" x14ac:dyDescent="0.35">
      <c r="A101" s="86"/>
      <c r="B101" s="86"/>
      <c r="C101" s="241" t="e">
        <f>VLOOKUP(B99,Уч!$A$2:$L$18,7,FALSE)</f>
        <v>#N/A</v>
      </c>
      <c r="D101" s="242"/>
      <c r="E101" s="269" t="s">
        <v>77</v>
      </c>
      <c r="F101" s="270" t="e">
        <f>F100</f>
        <v>#N/A</v>
      </c>
      <c r="G101" s="271" t="e">
        <f t="shared" ref="G101:L101" si="30">F101+G100</f>
        <v>#N/A</v>
      </c>
      <c r="H101" s="271" t="e">
        <f t="shared" si="30"/>
        <v>#N/A</v>
      </c>
      <c r="I101" s="271" t="e">
        <f t="shared" si="30"/>
        <v>#N/A</v>
      </c>
      <c r="J101" s="271" t="e">
        <f t="shared" si="30"/>
        <v>#N/A</v>
      </c>
      <c r="K101" s="271" t="e">
        <f t="shared" si="30"/>
        <v>#N/A</v>
      </c>
      <c r="L101" s="272" t="e">
        <f t="shared" si="30"/>
        <v>#N/A</v>
      </c>
      <c r="M101" s="152"/>
      <c r="N101" s="244"/>
      <c r="O101" s="152"/>
      <c r="P101" s="243"/>
      <c r="Q101" s="131">
        <f>$A99</f>
        <v>23</v>
      </c>
      <c r="R101" s="131">
        <v>3</v>
      </c>
      <c r="S101" s="131"/>
      <c r="T101" s="152" t="e">
        <f t="shared" ref="T101:Z101" si="31">F101</f>
        <v>#N/A</v>
      </c>
      <c r="U101" s="152" t="e">
        <f t="shared" si="31"/>
        <v>#N/A</v>
      </c>
      <c r="V101" s="152" t="e">
        <f t="shared" si="31"/>
        <v>#N/A</v>
      </c>
      <c r="W101" s="152" t="e">
        <f t="shared" si="31"/>
        <v>#N/A</v>
      </c>
      <c r="X101" s="152" t="e">
        <f t="shared" si="31"/>
        <v>#N/A</v>
      </c>
      <c r="Y101" s="152" t="e">
        <f t="shared" si="31"/>
        <v>#N/A</v>
      </c>
      <c r="Z101" s="152" t="e">
        <f t="shared" si="31"/>
        <v>#N/A</v>
      </c>
      <c r="AB101" s="86"/>
    </row>
    <row r="102" spans="1:28" s="123" customFormat="1" ht="13.2" customHeight="1" outlineLevel="1" thickBot="1" x14ac:dyDescent="0.4">
      <c r="A102" s="245"/>
      <c r="B102" s="245"/>
      <c r="C102" s="246" t="e">
        <f>VLOOKUP(B99,Уч!$A$2:$L$18,11,FALSE)</f>
        <v>#N/A</v>
      </c>
      <c r="D102" s="247"/>
      <c r="E102" s="273" t="s">
        <v>37</v>
      </c>
      <c r="F102" s="274" t="e">
        <f>RANK(F101,$T$16:$T$60,0)</f>
        <v>#N/A</v>
      </c>
      <c r="G102" s="275" t="e">
        <f>RANK(G101,$U$16:$U$60,0)</f>
        <v>#N/A</v>
      </c>
      <c r="H102" s="275" t="e">
        <f>RANK(H101,$V$16:$V$60,0)</f>
        <v>#N/A</v>
      </c>
      <c r="I102" s="275" t="e">
        <f>RANK(I101,$W$16:$W$60,0)</f>
        <v>#N/A</v>
      </c>
      <c r="J102" s="275" t="e">
        <f>RANK(J101,$X$16:$X$60,0)</f>
        <v>#N/A</v>
      </c>
      <c r="K102" s="275" t="e">
        <f>RANK(K101,$Y$16:$Y$60,0)</f>
        <v>#N/A</v>
      </c>
      <c r="L102" s="276" t="e">
        <f>RANK(L101,$Z$16:$Z$60,0)</f>
        <v>#N/A</v>
      </c>
      <c r="M102" s="251"/>
      <c r="N102" s="252"/>
      <c r="O102" s="251"/>
      <c r="P102" s="243"/>
      <c r="Q102" s="131">
        <f>$A99</f>
        <v>23</v>
      </c>
      <c r="R102" s="131">
        <v>4</v>
      </c>
      <c r="S102" s="131"/>
      <c r="T102" s="236"/>
      <c r="U102" s="236"/>
      <c r="V102" s="236"/>
      <c r="W102" s="236"/>
      <c r="X102" s="236"/>
      <c r="Y102" s="236"/>
      <c r="Z102" s="236"/>
      <c r="AB102" s="86"/>
    </row>
    <row r="103" spans="1:28" s="123" customFormat="1" ht="13.2" customHeight="1" collapsed="1" thickTop="1" x14ac:dyDescent="0.35">
      <c r="A103" s="86"/>
      <c r="B103" s="86"/>
      <c r="C103" s="241"/>
      <c r="D103" s="242"/>
      <c r="E103" s="264"/>
      <c r="F103" s="243"/>
      <c r="G103" s="243"/>
      <c r="H103" s="243"/>
      <c r="I103" s="243"/>
      <c r="J103" s="243"/>
      <c r="K103" s="243"/>
      <c r="L103" s="243"/>
      <c r="M103" s="152"/>
      <c r="N103" s="244"/>
      <c r="O103" s="152"/>
      <c r="P103" s="243"/>
      <c r="Q103" s="131"/>
      <c r="R103" s="131"/>
      <c r="S103" s="131"/>
      <c r="T103" s="236"/>
      <c r="U103" s="236"/>
      <c r="V103" s="236"/>
      <c r="W103" s="236"/>
      <c r="X103" s="236"/>
      <c r="Y103" s="236"/>
      <c r="Z103" s="236"/>
      <c r="AB103" s="86"/>
    </row>
    <row r="104" spans="1:28" s="123" customFormat="1" ht="13.2" customHeight="1" x14ac:dyDescent="0.35">
      <c r="A104" s="86"/>
      <c r="B104" s="86"/>
      <c r="C104" s="241"/>
      <c r="D104" s="242"/>
      <c r="E104" s="264"/>
      <c r="F104" s="243"/>
      <c r="G104" s="243"/>
      <c r="H104" s="243"/>
      <c r="I104" s="243"/>
      <c r="J104" s="243"/>
      <c r="K104" s="243"/>
      <c r="L104" s="243"/>
      <c r="M104" s="152"/>
      <c r="N104" s="244"/>
      <c r="O104" s="152"/>
      <c r="P104" s="243"/>
      <c r="Q104" s="131"/>
      <c r="R104" s="131"/>
      <c r="S104" s="131"/>
      <c r="T104" s="236"/>
      <c r="U104" s="236"/>
      <c r="V104" s="236"/>
      <c r="W104" s="236"/>
      <c r="X104" s="236"/>
      <c r="Y104" s="236"/>
      <c r="Z104" s="236"/>
      <c r="AB104" s="86"/>
    </row>
    <row r="105" spans="1:28" s="123" customFormat="1" ht="13.2" customHeight="1" x14ac:dyDescent="0.35">
      <c r="A105" s="86"/>
      <c r="B105" s="86"/>
      <c r="C105" s="241"/>
      <c r="D105" s="242"/>
      <c r="E105" s="264"/>
      <c r="F105" s="243"/>
      <c r="G105" s="243"/>
      <c r="H105" s="243"/>
      <c r="I105" s="243"/>
      <c r="J105" s="243"/>
      <c r="K105" s="243"/>
      <c r="L105" s="243"/>
      <c r="M105" s="152"/>
      <c r="N105" s="244"/>
      <c r="O105" s="152"/>
      <c r="P105" s="243"/>
      <c r="Q105" s="131"/>
      <c r="R105" s="131"/>
      <c r="S105" s="131"/>
      <c r="T105" s="236"/>
      <c r="U105" s="236"/>
      <c r="V105" s="236"/>
      <c r="W105" s="236"/>
      <c r="X105" s="236"/>
      <c r="Y105" s="236"/>
      <c r="Z105" s="236"/>
      <c r="AB105" s="86"/>
    </row>
    <row r="106" spans="1:28" s="123" customFormat="1" ht="13.2" customHeight="1" x14ac:dyDescent="0.35">
      <c r="A106" s="86"/>
      <c r="B106" s="86"/>
      <c r="C106" s="241"/>
      <c r="D106" s="242"/>
      <c r="E106" s="264"/>
      <c r="F106" s="243"/>
      <c r="G106" s="243"/>
      <c r="H106" s="243"/>
      <c r="I106" s="243"/>
      <c r="J106" s="243"/>
      <c r="K106" s="243"/>
      <c r="L106" s="243"/>
      <c r="M106" s="152"/>
      <c r="N106" s="244"/>
      <c r="O106" s="152"/>
      <c r="P106" s="243"/>
      <c r="Q106" s="131"/>
      <c r="R106" s="131"/>
      <c r="S106" s="131"/>
      <c r="T106" s="236"/>
      <c r="U106" s="236"/>
      <c r="V106" s="236"/>
      <c r="W106" s="236"/>
      <c r="X106" s="236"/>
      <c r="Y106" s="236"/>
      <c r="Z106" s="236"/>
      <c r="AB106" s="86"/>
    </row>
    <row r="107" spans="1:28" s="123" customFormat="1" ht="13.2" customHeight="1" x14ac:dyDescent="0.35">
      <c r="A107" s="86"/>
      <c r="B107" s="86"/>
      <c r="C107" s="241"/>
      <c r="D107" s="242"/>
      <c r="E107" s="264"/>
      <c r="F107" s="243"/>
      <c r="G107" s="243"/>
      <c r="H107" s="243"/>
      <c r="I107" s="243"/>
      <c r="J107" s="243"/>
      <c r="K107" s="243"/>
      <c r="L107" s="243"/>
      <c r="M107" s="152"/>
      <c r="N107" s="244"/>
      <c r="O107" s="152"/>
      <c r="P107" s="243"/>
      <c r="Q107" s="131"/>
      <c r="R107" s="131"/>
      <c r="S107" s="131"/>
      <c r="T107" s="236"/>
      <c r="U107" s="236"/>
      <c r="V107" s="236"/>
      <c r="W107" s="236"/>
      <c r="X107" s="236"/>
      <c r="Y107" s="236"/>
      <c r="Z107" s="236"/>
      <c r="AB107" s="86"/>
    </row>
    <row r="108" spans="1:28" s="123" customFormat="1" ht="13.2" customHeight="1" x14ac:dyDescent="0.35">
      <c r="A108" s="86"/>
      <c r="B108" s="86"/>
      <c r="C108" s="241"/>
      <c r="D108" s="242"/>
      <c r="E108" s="264"/>
      <c r="F108" s="243"/>
      <c r="G108" s="243"/>
      <c r="H108" s="243"/>
      <c r="I108" s="243"/>
      <c r="J108" s="243"/>
      <c r="K108" s="243"/>
      <c r="L108" s="243"/>
      <c r="M108" s="152"/>
      <c r="N108" s="244"/>
      <c r="O108" s="152"/>
      <c r="P108" s="243"/>
      <c r="Q108" s="131"/>
      <c r="R108" s="131"/>
      <c r="S108" s="131"/>
      <c r="T108" s="236"/>
      <c r="U108" s="236"/>
      <c r="V108" s="236"/>
      <c r="W108" s="236"/>
      <c r="X108" s="236"/>
      <c r="Y108" s="236"/>
      <c r="Z108" s="236"/>
      <c r="AB108" s="86"/>
    </row>
    <row r="109" spans="1:28" s="123" customFormat="1" ht="13.2" customHeight="1" x14ac:dyDescent="0.35">
      <c r="A109" s="86"/>
      <c r="B109" s="86"/>
      <c r="C109" s="241"/>
      <c r="D109" s="242"/>
      <c r="E109" s="264"/>
      <c r="F109" s="243"/>
      <c r="G109" s="243"/>
      <c r="H109" s="243"/>
      <c r="I109" s="243"/>
      <c r="J109" s="243"/>
      <c r="K109" s="243"/>
      <c r="L109" s="243"/>
      <c r="M109" s="152"/>
      <c r="N109" s="244"/>
      <c r="O109" s="152"/>
      <c r="P109" s="243"/>
      <c r="Q109" s="131"/>
      <c r="R109" s="131"/>
      <c r="S109" s="131"/>
      <c r="T109" s="236"/>
      <c r="U109" s="236"/>
      <c r="V109" s="236"/>
      <c r="W109" s="236"/>
      <c r="X109" s="236"/>
      <c r="Y109" s="236"/>
      <c r="Z109" s="236"/>
      <c r="AB109" s="86"/>
    </row>
    <row r="110" spans="1:28" s="123" customFormat="1" ht="13.2" customHeight="1" x14ac:dyDescent="0.35">
      <c r="A110" s="86"/>
      <c r="B110" s="86"/>
      <c r="C110" s="241"/>
      <c r="D110" s="242"/>
      <c r="E110" s="264"/>
      <c r="F110" s="243"/>
      <c r="G110" s="243"/>
      <c r="H110" s="243"/>
      <c r="I110" s="243"/>
      <c r="J110" s="243"/>
      <c r="K110" s="243"/>
      <c r="L110" s="243"/>
      <c r="M110" s="152"/>
      <c r="N110" s="244"/>
      <c r="O110" s="152"/>
      <c r="P110" s="243"/>
      <c r="Q110" s="131"/>
      <c r="R110" s="131"/>
      <c r="S110" s="131"/>
      <c r="T110" s="236"/>
      <c r="U110" s="236"/>
      <c r="V110" s="236"/>
      <c r="W110" s="236"/>
      <c r="X110" s="236"/>
      <c r="Y110" s="236"/>
      <c r="Z110" s="236"/>
      <c r="AB110" s="86"/>
    </row>
    <row r="111" spans="1:28" s="123" customFormat="1" ht="13.2" customHeight="1" x14ac:dyDescent="0.35">
      <c r="A111" s="86"/>
      <c r="B111" s="86"/>
      <c r="C111" s="241"/>
      <c r="D111" s="242"/>
      <c r="E111" s="264"/>
      <c r="F111" s="243"/>
      <c r="G111" s="243"/>
      <c r="H111" s="243"/>
      <c r="I111" s="243"/>
      <c r="J111" s="243"/>
      <c r="K111" s="243"/>
      <c r="L111" s="243"/>
      <c r="M111" s="152"/>
      <c r="N111" s="244"/>
      <c r="O111" s="152"/>
      <c r="P111" s="243"/>
      <c r="Q111" s="131"/>
      <c r="R111" s="131"/>
      <c r="S111" s="131"/>
      <c r="T111" s="236"/>
      <c r="U111" s="236"/>
      <c r="V111" s="236"/>
      <c r="W111" s="236"/>
      <c r="X111" s="236"/>
      <c r="Y111" s="236"/>
      <c r="Z111" s="236"/>
      <c r="AB111" s="86"/>
    </row>
    <row r="112" spans="1:28" s="123" customFormat="1" ht="13.2" customHeight="1" x14ac:dyDescent="0.35">
      <c r="A112" s="86"/>
      <c r="B112" s="86"/>
      <c r="C112" s="241"/>
      <c r="D112" s="242"/>
      <c r="E112" s="264"/>
      <c r="F112" s="243"/>
      <c r="G112" s="243"/>
      <c r="H112" s="243"/>
      <c r="I112" s="243"/>
      <c r="J112" s="243"/>
      <c r="K112" s="243"/>
      <c r="L112" s="243"/>
      <c r="M112" s="152"/>
      <c r="N112" s="244"/>
      <c r="O112" s="152"/>
      <c r="P112" s="243"/>
      <c r="Q112" s="131"/>
      <c r="R112" s="131"/>
      <c r="S112" s="131"/>
      <c r="T112" s="236"/>
      <c r="U112" s="236"/>
      <c r="V112" s="236"/>
      <c r="W112" s="236"/>
      <c r="X112" s="236"/>
      <c r="Y112" s="236"/>
      <c r="Z112" s="236"/>
      <c r="AB112" s="86"/>
    </row>
    <row r="113" spans="1:28" s="123" customFormat="1" ht="13.5" customHeight="1" x14ac:dyDescent="0.35">
      <c r="A113" s="86"/>
      <c r="B113" s="86"/>
      <c r="C113" s="241"/>
      <c r="D113" s="242"/>
      <c r="E113" s="264"/>
      <c r="F113" s="243"/>
      <c r="G113" s="243"/>
      <c r="H113" s="243"/>
      <c r="I113" s="243"/>
      <c r="J113" s="243"/>
      <c r="K113" s="243"/>
      <c r="L113" s="243"/>
      <c r="M113" s="152"/>
      <c r="N113" s="244"/>
      <c r="O113" s="152"/>
      <c r="P113" s="243"/>
      <c r="Q113" s="131"/>
      <c r="R113" s="131"/>
      <c r="S113" s="131"/>
      <c r="T113" s="236"/>
      <c r="U113" s="236"/>
      <c r="V113" s="236"/>
      <c r="W113" s="236"/>
      <c r="X113" s="236"/>
      <c r="Y113" s="236"/>
      <c r="Z113" s="236"/>
      <c r="AB113" s="86"/>
    </row>
    <row r="114" spans="1:28" s="123" customFormat="1" ht="13.5" customHeight="1" x14ac:dyDescent="0.35">
      <c r="A114" s="86"/>
      <c r="B114" s="86"/>
      <c r="C114" s="241"/>
      <c r="D114" s="242"/>
      <c r="E114" s="264"/>
      <c r="F114" s="243"/>
      <c r="G114" s="243"/>
      <c r="H114" s="243"/>
      <c r="I114" s="243"/>
      <c r="J114" s="243"/>
      <c r="K114" s="243"/>
      <c r="L114" s="243"/>
      <c r="M114" s="152"/>
      <c r="N114" s="244"/>
      <c r="O114" s="152"/>
      <c r="P114" s="243"/>
      <c r="Q114" s="131"/>
      <c r="R114" s="131"/>
      <c r="S114" s="131"/>
      <c r="T114" s="236"/>
      <c r="U114" s="236"/>
      <c r="V114" s="236"/>
      <c r="W114" s="236"/>
      <c r="X114" s="236"/>
      <c r="Y114" s="236"/>
      <c r="Z114" s="236"/>
      <c r="AB114" s="86"/>
    </row>
    <row r="115" spans="1:28" s="123" customFormat="1" ht="13.5" customHeight="1" x14ac:dyDescent="0.35">
      <c r="A115" s="86"/>
      <c r="B115" s="86"/>
      <c r="C115" s="241"/>
      <c r="D115" s="242"/>
      <c r="E115" s="264"/>
      <c r="F115" s="243"/>
      <c r="G115" s="243"/>
      <c r="H115" s="243"/>
      <c r="I115" s="243"/>
      <c r="J115" s="243"/>
      <c r="K115" s="243"/>
      <c r="L115" s="243"/>
      <c r="M115" s="152"/>
      <c r="N115" s="244"/>
      <c r="O115" s="152"/>
      <c r="P115" s="243"/>
      <c r="Q115" s="131"/>
      <c r="R115" s="131"/>
      <c r="S115" s="131"/>
      <c r="T115" s="236"/>
      <c r="U115" s="236"/>
      <c r="V115" s="236"/>
      <c r="W115" s="236"/>
      <c r="X115" s="236"/>
      <c r="Y115" s="236"/>
      <c r="Z115" s="236"/>
      <c r="AB115" s="86"/>
    </row>
    <row r="116" spans="1:28" s="123" customFormat="1" ht="13.5" customHeight="1" x14ac:dyDescent="0.35">
      <c r="A116" s="86"/>
      <c r="B116" s="86"/>
      <c r="C116" s="241"/>
      <c r="D116" s="242"/>
      <c r="E116" s="264"/>
      <c r="F116" s="243"/>
      <c r="G116" s="243"/>
      <c r="H116" s="243"/>
      <c r="I116" s="243"/>
      <c r="J116" s="243"/>
      <c r="K116" s="243"/>
      <c r="L116" s="243"/>
      <c r="M116" s="152"/>
      <c r="N116" s="244"/>
      <c r="O116" s="152"/>
      <c r="P116" s="243"/>
      <c r="Q116" s="131"/>
      <c r="R116" s="131"/>
      <c r="S116" s="131"/>
      <c r="T116" s="236"/>
      <c r="U116" s="236"/>
      <c r="V116" s="236"/>
      <c r="W116" s="236"/>
      <c r="X116" s="236"/>
      <c r="Y116" s="236"/>
      <c r="Z116" s="236"/>
      <c r="AB116" s="86"/>
    </row>
    <row r="117" spans="1:28" s="123" customFormat="1" ht="13.5" customHeight="1" x14ac:dyDescent="0.35">
      <c r="A117" s="86"/>
      <c r="B117" s="86"/>
      <c r="C117" s="241"/>
      <c r="D117" s="242"/>
      <c r="E117" s="264"/>
      <c r="F117" s="243"/>
      <c r="G117" s="243"/>
      <c r="H117" s="243"/>
      <c r="I117" s="243"/>
      <c r="J117" s="243"/>
      <c r="K117" s="243"/>
      <c r="L117" s="243"/>
      <c r="M117" s="152"/>
      <c r="N117" s="244"/>
      <c r="O117" s="152"/>
      <c r="P117" s="243"/>
      <c r="Q117" s="131"/>
      <c r="R117" s="131"/>
      <c r="S117" s="131"/>
      <c r="T117" s="236"/>
      <c r="U117" s="236"/>
      <c r="V117" s="236"/>
      <c r="W117" s="236"/>
      <c r="X117" s="236"/>
      <c r="Y117" s="236"/>
      <c r="Z117" s="236"/>
      <c r="AB117" s="86"/>
    </row>
    <row r="118" spans="1:28" s="123" customFormat="1" ht="13.5" customHeight="1" x14ac:dyDescent="0.35">
      <c r="A118" s="86"/>
      <c r="B118" s="86"/>
      <c r="C118" s="241"/>
      <c r="D118" s="242"/>
      <c r="E118" s="264"/>
      <c r="F118" s="243"/>
      <c r="G118" s="243"/>
      <c r="H118" s="243"/>
      <c r="I118" s="243"/>
      <c r="J118" s="243"/>
      <c r="K118" s="243"/>
      <c r="L118" s="243"/>
      <c r="M118" s="152"/>
      <c r="N118" s="244"/>
      <c r="O118" s="152"/>
      <c r="P118" s="243"/>
      <c r="Q118" s="131"/>
      <c r="R118" s="131"/>
      <c r="S118" s="131"/>
      <c r="T118" s="236"/>
      <c r="U118" s="236"/>
      <c r="V118" s="236"/>
      <c r="W118" s="236"/>
      <c r="X118" s="236"/>
      <c r="Y118" s="236"/>
      <c r="Z118" s="236"/>
      <c r="AB118" s="86"/>
    </row>
    <row r="119" spans="1:28" s="123" customFormat="1" ht="13.5" customHeight="1" x14ac:dyDescent="0.35">
      <c r="A119" s="86"/>
      <c r="B119" s="86"/>
      <c r="C119" s="241"/>
      <c r="D119" s="242"/>
      <c r="E119" s="264"/>
      <c r="F119" s="243"/>
      <c r="G119" s="243"/>
      <c r="H119" s="243"/>
      <c r="I119" s="243"/>
      <c r="J119" s="243"/>
      <c r="K119" s="243"/>
      <c r="L119" s="243"/>
      <c r="M119" s="152"/>
      <c r="N119" s="244"/>
      <c r="O119" s="152"/>
      <c r="P119" s="243"/>
      <c r="Q119" s="131"/>
      <c r="R119" s="131"/>
      <c r="S119" s="131"/>
      <c r="T119" s="236"/>
      <c r="U119" s="236"/>
      <c r="V119" s="236"/>
      <c r="W119" s="236"/>
      <c r="X119" s="236"/>
      <c r="Y119" s="236"/>
      <c r="Z119" s="236"/>
      <c r="AB119" s="86"/>
    </row>
    <row r="120" spans="1:28" s="123" customFormat="1" ht="13.5" customHeight="1" x14ac:dyDescent="0.35">
      <c r="A120" s="86"/>
      <c r="B120" s="86"/>
      <c r="C120" s="241"/>
      <c r="D120" s="242"/>
      <c r="E120" s="264"/>
      <c r="F120" s="243"/>
      <c r="G120" s="243"/>
      <c r="H120" s="243"/>
      <c r="I120" s="243"/>
      <c r="J120" s="243"/>
      <c r="K120" s="243"/>
      <c r="L120" s="243"/>
      <c r="M120" s="152"/>
      <c r="N120" s="244"/>
      <c r="O120" s="152"/>
      <c r="P120" s="243"/>
      <c r="Q120" s="131"/>
      <c r="R120" s="131"/>
      <c r="S120" s="131"/>
      <c r="T120" s="236"/>
      <c r="U120" s="236"/>
      <c r="V120" s="236"/>
      <c r="W120" s="236"/>
      <c r="X120" s="236"/>
      <c r="Y120" s="236"/>
      <c r="Z120" s="236"/>
      <c r="AB120" s="86"/>
    </row>
    <row r="121" spans="1:28" s="123" customFormat="1" ht="13.5" customHeight="1" x14ac:dyDescent="0.35">
      <c r="A121" s="86"/>
      <c r="B121" s="86"/>
      <c r="C121" s="241"/>
      <c r="D121" s="242"/>
      <c r="E121" s="264"/>
      <c r="F121" s="243"/>
      <c r="G121" s="243"/>
      <c r="H121" s="243"/>
      <c r="I121" s="243"/>
      <c r="J121" s="243"/>
      <c r="K121" s="243"/>
      <c r="L121" s="243"/>
      <c r="M121" s="152"/>
      <c r="N121" s="244"/>
      <c r="O121" s="152"/>
      <c r="P121" s="243"/>
      <c r="Q121" s="131"/>
      <c r="R121" s="131"/>
      <c r="S121" s="131"/>
      <c r="T121" s="236"/>
      <c r="U121" s="236"/>
      <c r="V121" s="236"/>
      <c r="W121" s="236"/>
      <c r="X121" s="236"/>
      <c r="Y121" s="236"/>
      <c r="Z121" s="236"/>
      <c r="AB121" s="86"/>
    </row>
    <row r="122" spans="1:28" s="123" customFormat="1" ht="13.5" customHeight="1" x14ac:dyDescent="0.35">
      <c r="A122" s="86"/>
      <c r="B122" s="86"/>
      <c r="C122" s="241"/>
      <c r="D122" s="242"/>
      <c r="E122" s="264"/>
      <c r="F122" s="243"/>
      <c r="G122" s="243"/>
      <c r="H122" s="243"/>
      <c r="I122" s="243"/>
      <c r="J122" s="243"/>
      <c r="K122" s="243"/>
      <c r="L122" s="243"/>
      <c r="M122" s="152"/>
      <c r="N122" s="244"/>
      <c r="O122" s="152"/>
      <c r="P122" s="243"/>
      <c r="Q122" s="131"/>
      <c r="R122" s="131"/>
      <c r="S122" s="131"/>
      <c r="T122" s="236"/>
      <c r="U122" s="236"/>
      <c r="V122" s="236"/>
      <c r="W122" s="236"/>
      <c r="X122" s="236"/>
      <c r="Y122" s="236"/>
      <c r="Z122" s="236"/>
      <c r="AB122" s="86"/>
    </row>
    <row r="123" spans="1:28" s="123" customFormat="1" ht="13.5" customHeight="1" x14ac:dyDescent="0.35">
      <c r="A123" s="86"/>
      <c r="B123" s="86"/>
      <c r="C123" s="241"/>
      <c r="D123" s="242"/>
      <c r="E123" s="264"/>
      <c r="F123" s="243"/>
      <c r="G123" s="243"/>
      <c r="H123" s="243"/>
      <c r="I123" s="243"/>
      <c r="J123" s="243"/>
      <c r="K123" s="243"/>
      <c r="L123" s="243"/>
      <c r="M123" s="152"/>
      <c r="N123" s="244"/>
      <c r="O123" s="152"/>
      <c r="P123" s="243"/>
      <c r="Q123" s="131"/>
      <c r="R123" s="131"/>
      <c r="S123" s="131"/>
      <c r="T123" s="236"/>
      <c r="U123" s="236"/>
      <c r="V123" s="236"/>
      <c r="W123" s="236"/>
      <c r="X123" s="236"/>
      <c r="Y123" s="236"/>
      <c r="Z123" s="236"/>
      <c r="AB123" s="86"/>
    </row>
    <row r="124" spans="1:28" s="123" customFormat="1" ht="13.5" customHeight="1" x14ac:dyDescent="0.35">
      <c r="A124" s="86"/>
      <c r="B124" s="86"/>
      <c r="C124" s="241"/>
      <c r="D124" s="242"/>
      <c r="E124" s="264"/>
      <c r="F124" s="243"/>
      <c r="G124" s="243"/>
      <c r="H124" s="243"/>
      <c r="I124" s="243"/>
      <c r="J124" s="243"/>
      <c r="K124" s="243"/>
      <c r="L124" s="243"/>
      <c r="M124" s="152"/>
      <c r="N124" s="244"/>
      <c r="O124" s="152"/>
      <c r="P124" s="243"/>
      <c r="Q124" s="131"/>
      <c r="R124" s="131"/>
      <c r="S124" s="131"/>
      <c r="T124" s="236"/>
      <c r="U124" s="236"/>
      <c r="V124" s="236"/>
      <c r="W124" s="236"/>
      <c r="X124" s="236"/>
      <c r="Y124" s="236"/>
      <c r="Z124" s="236"/>
      <c r="AB124" s="86"/>
    </row>
    <row r="125" spans="1:28" s="123" customFormat="1" ht="13.5" customHeight="1" x14ac:dyDescent="0.35">
      <c r="A125" s="86"/>
      <c r="B125" s="86"/>
      <c r="C125" s="241"/>
      <c r="D125" s="242"/>
      <c r="E125" s="264"/>
      <c r="F125" s="243"/>
      <c r="G125" s="243"/>
      <c r="H125" s="243"/>
      <c r="I125" s="243"/>
      <c r="J125" s="243"/>
      <c r="K125" s="243"/>
      <c r="L125" s="243"/>
      <c r="M125" s="152"/>
      <c r="N125" s="244"/>
      <c r="O125" s="152"/>
      <c r="P125" s="243"/>
      <c r="Q125" s="131"/>
      <c r="R125" s="131"/>
      <c r="S125" s="131"/>
      <c r="T125" s="236"/>
      <c r="U125" s="236"/>
      <c r="V125" s="236"/>
      <c r="W125" s="236"/>
      <c r="X125" s="236"/>
      <c r="Y125" s="236"/>
      <c r="Z125" s="236"/>
      <c r="AB125" s="86"/>
    </row>
    <row r="126" spans="1:28" s="123" customFormat="1" ht="13.5" customHeight="1" x14ac:dyDescent="0.35">
      <c r="A126" s="86"/>
      <c r="B126" s="86"/>
      <c r="C126" s="241"/>
      <c r="D126" s="242"/>
      <c r="E126" s="264"/>
      <c r="F126" s="243"/>
      <c r="G126" s="243"/>
      <c r="H126" s="243"/>
      <c r="I126" s="243"/>
      <c r="J126" s="243"/>
      <c r="K126" s="243"/>
      <c r="L126" s="243"/>
      <c r="M126" s="152"/>
      <c r="N126" s="244"/>
      <c r="O126" s="152"/>
      <c r="P126" s="243"/>
      <c r="Q126" s="131"/>
      <c r="R126" s="131"/>
      <c r="S126" s="131"/>
      <c r="T126" s="236"/>
      <c r="U126" s="236"/>
      <c r="V126" s="236"/>
      <c r="W126" s="236"/>
      <c r="X126" s="236"/>
      <c r="Y126" s="236"/>
      <c r="Z126" s="236"/>
      <c r="AB126" s="86"/>
    </row>
    <row r="127" spans="1:28" s="123" customFormat="1" ht="13.5" customHeight="1" x14ac:dyDescent="0.35">
      <c r="A127" s="86"/>
      <c r="B127" s="86"/>
      <c r="C127" s="241"/>
      <c r="D127" s="242"/>
      <c r="E127" s="264"/>
      <c r="F127" s="243"/>
      <c r="G127" s="243"/>
      <c r="H127" s="243"/>
      <c r="I127" s="243"/>
      <c r="J127" s="243"/>
      <c r="K127" s="243"/>
      <c r="L127" s="243"/>
      <c r="M127" s="152"/>
      <c r="N127" s="244"/>
      <c r="O127" s="152"/>
      <c r="P127" s="243"/>
      <c r="Q127" s="131"/>
      <c r="R127" s="131"/>
      <c r="S127" s="131"/>
      <c r="T127" s="236"/>
      <c r="U127" s="236"/>
      <c r="V127" s="236"/>
      <c r="W127" s="236"/>
      <c r="X127" s="236"/>
      <c r="Y127" s="236"/>
      <c r="Z127" s="236"/>
      <c r="AB127" s="86"/>
    </row>
    <row r="128" spans="1:28" s="123" customFormat="1" ht="13.5" customHeight="1" x14ac:dyDescent="0.35">
      <c r="A128" s="86"/>
      <c r="B128" s="86"/>
      <c r="C128" s="241"/>
      <c r="D128" s="242"/>
      <c r="E128" s="264"/>
      <c r="F128" s="243"/>
      <c r="G128" s="243"/>
      <c r="H128" s="243"/>
      <c r="I128" s="243"/>
      <c r="J128" s="243"/>
      <c r="K128" s="243"/>
      <c r="L128" s="243"/>
      <c r="M128" s="152"/>
      <c r="N128" s="244"/>
      <c r="O128" s="152"/>
      <c r="P128" s="243"/>
      <c r="Q128" s="131"/>
      <c r="R128" s="131"/>
      <c r="S128" s="131"/>
      <c r="T128" s="236"/>
      <c r="U128" s="236"/>
      <c r="V128" s="236"/>
      <c r="W128" s="236"/>
      <c r="X128" s="236"/>
      <c r="Y128" s="236"/>
      <c r="Z128" s="236"/>
      <c r="AB128" s="86"/>
    </row>
    <row r="129" spans="1:28" s="123" customFormat="1" ht="13.5" customHeight="1" x14ac:dyDescent="0.35">
      <c r="A129" s="86"/>
      <c r="B129" s="86"/>
      <c r="C129" s="241"/>
      <c r="D129" s="242"/>
      <c r="E129" s="264"/>
      <c r="F129" s="243"/>
      <c r="G129" s="243"/>
      <c r="H129" s="243"/>
      <c r="I129" s="243"/>
      <c r="J129" s="243"/>
      <c r="K129" s="243"/>
      <c r="L129" s="243"/>
      <c r="M129" s="152"/>
      <c r="N129" s="244"/>
      <c r="O129" s="152"/>
      <c r="P129" s="243"/>
      <c r="Q129" s="131"/>
      <c r="R129" s="131"/>
      <c r="S129" s="131"/>
      <c r="T129" s="236"/>
      <c r="U129" s="236"/>
      <c r="V129" s="236"/>
      <c r="W129" s="236"/>
      <c r="X129" s="236"/>
      <c r="Y129" s="236"/>
      <c r="Z129" s="236"/>
      <c r="AB129" s="86"/>
    </row>
    <row r="130" spans="1:28" s="123" customFormat="1" ht="13.5" customHeight="1" x14ac:dyDescent="0.35">
      <c r="A130" s="86"/>
      <c r="B130" s="86"/>
      <c r="C130" s="241"/>
      <c r="D130" s="242"/>
      <c r="E130" s="264"/>
      <c r="F130" s="243"/>
      <c r="G130" s="243"/>
      <c r="H130" s="243"/>
      <c r="I130" s="243"/>
      <c r="J130" s="243"/>
      <c r="K130" s="243"/>
      <c r="L130" s="243"/>
      <c r="M130" s="152"/>
      <c r="N130" s="244"/>
      <c r="O130" s="152"/>
      <c r="P130" s="243"/>
      <c r="Q130" s="131"/>
      <c r="R130" s="131"/>
      <c r="S130" s="131"/>
      <c r="T130" s="236"/>
      <c r="U130" s="236"/>
      <c r="V130" s="236"/>
      <c r="W130" s="236"/>
      <c r="X130" s="236"/>
      <c r="Y130" s="236"/>
      <c r="Z130" s="236"/>
      <c r="AB130" s="86"/>
    </row>
    <row r="131" spans="1:28" s="123" customFormat="1" ht="13.5" customHeight="1" x14ac:dyDescent="0.35">
      <c r="A131" s="86"/>
      <c r="B131" s="86"/>
      <c r="C131" s="241"/>
      <c r="D131" s="242"/>
      <c r="E131" s="264"/>
      <c r="F131" s="243"/>
      <c r="G131" s="243"/>
      <c r="H131" s="243"/>
      <c r="I131" s="243"/>
      <c r="J131" s="243"/>
      <c r="K131" s="243"/>
      <c r="L131" s="243"/>
      <c r="M131" s="152"/>
      <c r="N131" s="244"/>
      <c r="O131" s="152"/>
      <c r="P131" s="243"/>
      <c r="Q131" s="131"/>
      <c r="R131" s="131"/>
      <c r="S131" s="131"/>
      <c r="T131" s="236"/>
      <c r="U131" s="236"/>
      <c r="V131" s="236"/>
      <c r="W131" s="236"/>
      <c r="X131" s="236"/>
      <c r="Y131" s="236"/>
      <c r="Z131" s="236"/>
      <c r="AB131" s="86"/>
    </row>
    <row r="132" spans="1:28" s="123" customFormat="1" ht="13.5" customHeight="1" x14ac:dyDescent="0.35">
      <c r="A132" s="86"/>
      <c r="B132" s="86"/>
      <c r="C132" s="241"/>
      <c r="D132" s="242"/>
      <c r="E132" s="264"/>
      <c r="F132" s="243"/>
      <c r="G132" s="243"/>
      <c r="H132" s="243"/>
      <c r="I132" s="243"/>
      <c r="J132" s="243"/>
      <c r="K132" s="243"/>
      <c r="L132" s="243"/>
      <c r="M132" s="152"/>
      <c r="N132" s="244"/>
      <c r="O132" s="152"/>
      <c r="P132" s="243"/>
      <c r="Q132" s="131"/>
      <c r="R132" s="131"/>
      <c r="S132" s="131"/>
      <c r="T132" s="236"/>
      <c r="U132" s="236"/>
      <c r="V132" s="236"/>
      <c r="W132" s="236"/>
      <c r="X132" s="236"/>
      <c r="Y132" s="236"/>
      <c r="Z132" s="236"/>
      <c r="AB132" s="86"/>
    </row>
    <row r="133" spans="1:28" s="123" customFormat="1" ht="13.5" customHeight="1" x14ac:dyDescent="0.35">
      <c r="A133" s="86"/>
      <c r="B133" s="86"/>
      <c r="C133" s="241"/>
      <c r="D133" s="242"/>
      <c r="E133" s="264"/>
      <c r="F133" s="243"/>
      <c r="G133" s="243"/>
      <c r="H133" s="243"/>
      <c r="I133" s="243"/>
      <c r="J133" s="243"/>
      <c r="K133" s="243"/>
      <c r="L133" s="243"/>
      <c r="M133" s="152"/>
      <c r="N133" s="244"/>
      <c r="O133" s="152"/>
      <c r="P133" s="243"/>
      <c r="Q133" s="131"/>
      <c r="R133" s="131"/>
      <c r="S133" s="131"/>
      <c r="T133" s="236"/>
      <c r="U133" s="236"/>
      <c r="V133" s="236"/>
      <c r="W133" s="236"/>
      <c r="X133" s="236"/>
      <c r="Y133" s="236"/>
      <c r="Z133" s="236"/>
      <c r="AB133" s="86"/>
    </row>
    <row r="134" spans="1:28" s="123" customFormat="1" ht="13.5" customHeight="1" x14ac:dyDescent="0.35">
      <c r="A134" s="86"/>
      <c r="B134" s="86"/>
      <c r="C134" s="241"/>
      <c r="D134" s="242"/>
      <c r="E134" s="264"/>
      <c r="F134" s="243"/>
      <c r="G134" s="243"/>
      <c r="H134" s="243"/>
      <c r="I134" s="243"/>
      <c r="J134" s="243"/>
      <c r="K134" s="243"/>
      <c r="L134" s="243"/>
      <c r="M134" s="152"/>
      <c r="N134" s="244"/>
      <c r="O134" s="152"/>
      <c r="P134" s="243"/>
      <c r="Q134" s="131"/>
      <c r="R134" s="131"/>
      <c r="S134" s="131"/>
      <c r="T134" s="236"/>
      <c r="U134" s="236"/>
      <c r="V134" s="236"/>
      <c r="W134" s="236"/>
      <c r="X134" s="236"/>
      <c r="Y134" s="236"/>
      <c r="Z134" s="236"/>
      <c r="AB134" s="86"/>
    </row>
    <row r="135" spans="1:28" s="123" customFormat="1" ht="13.5" customHeight="1" x14ac:dyDescent="0.35">
      <c r="A135" s="86"/>
      <c r="B135" s="86"/>
      <c r="C135" s="241"/>
      <c r="D135" s="242"/>
      <c r="E135" s="264"/>
      <c r="F135" s="243"/>
      <c r="G135" s="243"/>
      <c r="H135" s="243"/>
      <c r="I135" s="243"/>
      <c r="J135" s="243"/>
      <c r="K135" s="243"/>
      <c r="L135" s="243"/>
      <c r="M135" s="152"/>
      <c r="N135" s="244"/>
      <c r="O135" s="152"/>
      <c r="P135" s="243"/>
      <c r="Q135" s="131"/>
      <c r="R135" s="131"/>
      <c r="S135" s="131"/>
      <c r="T135" s="236"/>
      <c r="U135" s="236"/>
      <c r="V135" s="236"/>
      <c r="W135" s="236"/>
      <c r="X135" s="236"/>
      <c r="Y135" s="236"/>
      <c r="Z135" s="236"/>
      <c r="AB135" s="86"/>
    </row>
    <row r="136" spans="1:28" s="123" customFormat="1" ht="13.5" customHeight="1" x14ac:dyDescent="0.35">
      <c r="A136" s="86"/>
      <c r="B136" s="86"/>
      <c r="C136" s="241"/>
      <c r="D136" s="242"/>
      <c r="E136" s="264"/>
      <c r="F136" s="243"/>
      <c r="G136" s="243"/>
      <c r="H136" s="243"/>
      <c r="I136" s="243"/>
      <c r="J136" s="243"/>
      <c r="K136" s="243"/>
      <c r="L136" s="243"/>
      <c r="M136" s="152"/>
      <c r="N136" s="244"/>
      <c r="O136" s="152"/>
      <c r="P136" s="243"/>
      <c r="Q136" s="131"/>
      <c r="R136" s="131"/>
      <c r="S136" s="131"/>
      <c r="T136" s="236"/>
      <c r="U136" s="236"/>
      <c r="V136" s="236"/>
      <c r="W136" s="236"/>
      <c r="X136" s="236"/>
      <c r="Y136" s="236"/>
      <c r="Z136" s="236"/>
      <c r="AB136" s="86"/>
    </row>
    <row r="137" spans="1:28" s="123" customFormat="1" ht="13.5" customHeight="1" x14ac:dyDescent="0.35">
      <c r="A137" s="86"/>
      <c r="B137" s="86"/>
      <c r="C137" s="241"/>
      <c r="D137" s="242"/>
      <c r="E137" s="264"/>
      <c r="F137" s="243"/>
      <c r="G137" s="243"/>
      <c r="H137" s="243"/>
      <c r="I137" s="243"/>
      <c r="J137" s="243"/>
      <c r="K137" s="243"/>
      <c r="L137" s="243"/>
      <c r="M137" s="152"/>
      <c r="N137" s="244"/>
      <c r="O137" s="152"/>
      <c r="P137" s="243"/>
      <c r="Q137" s="131"/>
      <c r="R137" s="131"/>
      <c r="S137" s="131"/>
      <c r="T137" s="236"/>
      <c r="U137" s="236"/>
      <c r="V137" s="236"/>
      <c r="W137" s="236"/>
      <c r="X137" s="236"/>
      <c r="Y137" s="236"/>
      <c r="Z137" s="236"/>
      <c r="AB137" s="86"/>
    </row>
    <row r="138" spans="1:28" s="123" customFormat="1" ht="13.5" customHeight="1" x14ac:dyDescent="0.35">
      <c r="B138" s="86"/>
      <c r="D138" s="244"/>
      <c r="F138" s="86"/>
      <c r="H138" s="86"/>
      <c r="J138" s="86"/>
      <c r="K138" s="86"/>
      <c r="L138" s="86"/>
      <c r="M138" s="277"/>
      <c r="N138" s="277"/>
      <c r="O138" s="277"/>
      <c r="P138" s="277"/>
      <c r="Q138" s="277"/>
      <c r="R138" s="277"/>
      <c r="S138" s="277"/>
      <c r="T138" s="236"/>
      <c r="U138" s="236"/>
      <c r="V138" s="236"/>
      <c r="W138" s="236"/>
      <c r="X138" s="236"/>
      <c r="Y138" s="236"/>
      <c r="Z138" s="253"/>
      <c r="AB138" s="86"/>
    </row>
    <row r="139" spans="1:28" s="123" customFormat="1" ht="13.5" customHeight="1" x14ac:dyDescent="0.35">
      <c r="B139" s="86"/>
      <c r="J139" s="86"/>
      <c r="K139" s="86"/>
      <c r="L139" s="86"/>
      <c r="M139" s="277"/>
      <c r="N139" s="277"/>
      <c r="O139" s="277"/>
      <c r="P139" s="277"/>
      <c r="Q139" s="277"/>
      <c r="R139" s="277"/>
      <c r="S139" s="277"/>
      <c r="T139" s="236"/>
      <c r="U139" s="236"/>
      <c r="V139" s="236"/>
      <c r="W139" s="236"/>
      <c r="X139" s="236"/>
      <c r="Y139" s="236"/>
      <c r="Z139" s="253"/>
      <c r="AB139" s="86"/>
    </row>
    <row r="140" spans="1:28" s="123" customFormat="1" ht="13.5" customHeight="1" x14ac:dyDescent="0.35">
      <c r="B140" s="86"/>
      <c r="J140" s="86"/>
      <c r="K140" s="86"/>
      <c r="L140" s="86"/>
      <c r="M140" s="277"/>
      <c r="N140" s="277"/>
      <c r="O140" s="277"/>
      <c r="P140" s="277"/>
      <c r="Q140" s="277"/>
      <c r="R140" s="277"/>
      <c r="S140" s="277"/>
      <c r="T140" s="236"/>
      <c r="U140" s="236"/>
      <c r="V140" s="236"/>
      <c r="W140" s="236"/>
      <c r="X140" s="236"/>
      <c r="Y140" s="236"/>
      <c r="Z140" s="253"/>
      <c r="AB140" s="86"/>
    </row>
    <row r="141" spans="1:28" s="123" customFormat="1" ht="13.5" customHeight="1" x14ac:dyDescent="0.35">
      <c r="B141" s="86"/>
      <c r="J141" s="86"/>
      <c r="K141" s="86"/>
      <c r="L141" s="86"/>
      <c r="M141" s="277"/>
      <c r="N141" s="277"/>
      <c r="O141" s="277"/>
      <c r="P141" s="277"/>
      <c r="Q141" s="277"/>
      <c r="R141" s="277"/>
      <c r="S141" s="277"/>
      <c r="T141" s="236"/>
      <c r="U141" s="236"/>
      <c r="V141" s="236"/>
      <c r="W141" s="236"/>
      <c r="X141" s="236"/>
      <c r="Y141" s="236"/>
      <c r="Z141" s="253"/>
      <c r="AB141" s="86"/>
    </row>
    <row r="142" spans="1:28" s="206" customFormat="1" x14ac:dyDescent="0.25">
      <c r="B142" s="207"/>
      <c r="D142" s="60"/>
      <c r="G142" s="207"/>
      <c r="I142" s="207"/>
      <c r="J142" s="207"/>
      <c r="K142" s="38"/>
      <c r="L142" s="38"/>
      <c r="M142" s="38"/>
      <c r="N142" s="38"/>
      <c r="Z142" s="207"/>
      <c r="AA142" s="207"/>
    </row>
    <row r="143" spans="1:28" s="206" customFormat="1" x14ac:dyDescent="0.25">
      <c r="B143" s="207"/>
      <c r="D143" s="60"/>
      <c r="G143" s="207"/>
      <c r="I143" s="207"/>
      <c r="J143" s="207"/>
      <c r="K143" s="38"/>
      <c r="L143" s="38"/>
      <c r="M143" s="38"/>
      <c r="N143" s="38"/>
      <c r="Z143" s="207"/>
      <c r="AA143" s="207"/>
    </row>
    <row r="144" spans="1:28" s="206" customFormat="1" x14ac:dyDescent="0.25">
      <c r="B144" s="207"/>
      <c r="D144" s="60"/>
      <c r="G144" s="207"/>
      <c r="I144" s="207"/>
      <c r="J144" s="207"/>
      <c r="K144" s="38"/>
      <c r="L144" s="38"/>
      <c r="M144" s="38"/>
      <c r="N144" s="38"/>
      <c r="Z144" s="207"/>
      <c r="AA144" s="207"/>
    </row>
    <row r="145" spans="29:29" x14ac:dyDescent="0.25">
      <c r="AC145" s="206"/>
    </row>
    <row r="146" spans="29:29" x14ac:dyDescent="0.25">
      <c r="AC146" s="206"/>
    </row>
    <row r="147" spans="29:29" x14ac:dyDescent="0.25">
      <c r="AC147" s="206"/>
    </row>
    <row r="148" spans="29:29" x14ac:dyDescent="0.25">
      <c r="AC148" s="206"/>
    </row>
  </sheetData>
  <sortState ref="A16:AS50">
    <sortCondition ref="Q16:Q50"/>
    <sortCondition ref="R16:R50"/>
  </sortState>
  <mergeCells count="6"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N126"/>
  <sheetViews>
    <sheetView view="pageBreakPreview" topLeftCell="B1" zoomScale="80" zoomScaleSheetLayoutView="80" workbookViewId="0">
      <selection activeCell="B49" sqref="B49:L118"/>
    </sheetView>
  </sheetViews>
  <sheetFormatPr defaultColWidth="9.109375" defaultRowHeight="13.2" outlineLevelRow="1" outlineLevelCol="1" x14ac:dyDescent="0.25"/>
  <cols>
    <col min="1" max="1" width="12" style="24" hidden="1" customWidth="1" outlineLevel="1"/>
    <col min="2" max="2" width="6.33203125" style="24" customWidth="1" collapsed="1"/>
    <col min="3" max="3" width="8" style="37" customWidth="1"/>
    <col min="4" max="4" width="18.5546875" style="24" customWidth="1"/>
    <col min="5" max="5" width="10.109375" style="24" bestFit="1" customWidth="1"/>
    <col min="6" max="6" width="24.5546875" style="24" customWidth="1"/>
    <col min="7" max="7" width="8.77734375" style="24" customWidth="1"/>
    <col min="8" max="8" width="6.109375" style="24" customWidth="1"/>
    <col min="9" max="9" width="5.6640625" style="38" bestFit="1" customWidth="1"/>
    <col min="10" max="10" width="9.88671875" style="24" bestFit="1" customWidth="1"/>
    <col min="11" max="11" width="9.109375" style="24" outlineLevel="1"/>
    <col min="12" max="12" width="9.109375" style="37" outlineLevel="1"/>
    <col min="13" max="16384" width="9.109375" style="24"/>
  </cols>
  <sheetData>
    <row r="1" spans="1:12" ht="13.2" customHeight="1" x14ac:dyDescent="0.25">
      <c r="B1" s="437" t="s">
        <v>80</v>
      </c>
      <c r="C1" s="437"/>
      <c r="D1" s="437"/>
      <c r="E1" s="437"/>
      <c r="F1" s="437"/>
      <c r="G1" s="437"/>
      <c r="H1" s="437"/>
      <c r="I1" s="437"/>
      <c r="K1" s="39"/>
      <c r="L1" s="40"/>
    </row>
    <row r="2" spans="1:12" ht="13.2" customHeight="1" x14ac:dyDescent="0.25">
      <c r="B2" s="437" t="s">
        <v>10</v>
      </c>
      <c r="C2" s="437"/>
      <c r="D2" s="437"/>
      <c r="E2" s="437"/>
      <c r="F2" s="437"/>
      <c r="G2" s="437"/>
      <c r="H2" s="437"/>
      <c r="I2" s="437"/>
      <c r="K2" s="39"/>
      <c r="L2" s="40"/>
    </row>
    <row r="3" spans="1:12" ht="13.2" customHeight="1" x14ac:dyDescent="0.25">
      <c r="B3" s="437" t="s">
        <v>169</v>
      </c>
      <c r="C3" s="437"/>
      <c r="D3" s="437"/>
      <c r="E3" s="437"/>
      <c r="F3" s="437"/>
      <c r="G3" s="437"/>
      <c r="H3" s="437"/>
      <c r="I3" s="437"/>
      <c r="K3" s="39"/>
      <c r="L3" s="40"/>
    </row>
    <row r="4" spans="1:12" ht="13.2" customHeight="1" x14ac:dyDescent="0.25">
      <c r="B4" s="437" t="s">
        <v>147</v>
      </c>
      <c r="C4" s="437"/>
      <c r="D4" s="437"/>
      <c r="E4" s="437"/>
      <c r="F4" s="437"/>
      <c r="G4" s="437"/>
      <c r="H4" s="437"/>
      <c r="I4" s="437"/>
      <c r="K4" s="39"/>
      <c r="L4" s="40"/>
    </row>
    <row r="5" spans="1:12" ht="13.2" customHeight="1" x14ac:dyDescent="0.25">
      <c r="B5" s="437" t="s">
        <v>100</v>
      </c>
      <c r="C5" s="437"/>
      <c r="D5" s="437"/>
      <c r="E5" s="437"/>
      <c r="F5" s="437"/>
      <c r="G5" s="437"/>
      <c r="H5" s="437"/>
      <c r="I5" s="437"/>
      <c r="K5" s="39"/>
      <c r="L5" s="40"/>
    </row>
    <row r="6" spans="1:12" ht="13.2" customHeight="1" x14ac:dyDescent="0.25">
      <c r="B6" s="438" t="s">
        <v>12</v>
      </c>
      <c r="C6" s="438"/>
      <c r="D6" s="438"/>
      <c r="E6" s="438"/>
      <c r="F6" s="438"/>
      <c r="G6" s="438"/>
      <c r="H6" s="438"/>
      <c r="I6" s="438"/>
      <c r="K6" s="39"/>
      <c r="L6" s="40"/>
    </row>
    <row r="7" spans="1:12" ht="13.2" customHeight="1" x14ac:dyDescent="0.3">
      <c r="B7" s="436" t="s">
        <v>104</v>
      </c>
      <c r="C7" s="436"/>
      <c r="D7" s="436"/>
      <c r="E7" s="436"/>
      <c r="F7" s="436"/>
      <c r="G7" s="436"/>
      <c r="H7" s="436"/>
      <c r="I7" s="436"/>
      <c r="K7" s="39"/>
      <c r="L7" s="40"/>
    </row>
    <row r="8" spans="1:12" ht="13.2" customHeight="1" x14ac:dyDescent="0.3">
      <c r="B8" s="179" t="s">
        <v>241</v>
      </c>
      <c r="C8" s="44"/>
      <c r="D8" s="37"/>
      <c r="E8" s="37"/>
      <c r="G8" s="41"/>
      <c r="H8" s="180" t="s">
        <v>102</v>
      </c>
      <c r="I8" s="181">
        <v>0.40972222222222227</v>
      </c>
      <c r="K8" s="39"/>
      <c r="L8" s="40"/>
    </row>
    <row r="9" spans="1:12" ht="13.2" customHeight="1" x14ac:dyDescent="0.3">
      <c r="B9" s="179" t="s">
        <v>98</v>
      </c>
      <c r="C9" s="44"/>
      <c r="D9" s="37"/>
      <c r="E9" s="37"/>
      <c r="G9" s="41"/>
      <c r="H9" s="180" t="s">
        <v>103</v>
      </c>
      <c r="K9" s="43"/>
      <c r="L9" s="40"/>
    </row>
    <row r="10" spans="1:12" ht="13.2" hidden="1" customHeight="1" outlineLevel="1" x14ac:dyDescent="0.3">
      <c r="C10" s="44" t="s">
        <v>12</v>
      </c>
      <c r="D10" s="37"/>
      <c r="E10" s="37"/>
      <c r="F10" s="45" t="s">
        <v>104</v>
      </c>
      <c r="K10" s="43"/>
      <c r="L10" s="40"/>
    </row>
    <row r="11" spans="1:12" ht="13.2" hidden="1" customHeight="1" x14ac:dyDescent="0.3">
      <c r="C11" s="44"/>
      <c r="D11" s="37"/>
      <c r="E11" s="37"/>
      <c r="K11" s="43"/>
      <c r="L11" s="40"/>
    </row>
    <row r="12" spans="1:12" ht="13.2" hidden="1" customHeight="1" outlineLevel="1" x14ac:dyDescent="0.3">
      <c r="C12" s="44" t="s">
        <v>11</v>
      </c>
      <c r="D12" s="37"/>
      <c r="E12" s="37"/>
      <c r="G12" s="45" t="s">
        <v>104</v>
      </c>
      <c r="K12" s="39"/>
      <c r="L12" s="40"/>
    </row>
    <row r="13" spans="1:12" ht="13.2" hidden="1" customHeight="1" x14ac:dyDescent="0.3">
      <c r="C13" s="44"/>
      <c r="D13" s="37"/>
      <c r="E13" s="37"/>
      <c r="G13" s="45"/>
      <c r="K13" s="39"/>
      <c r="L13" s="40"/>
    </row>
    <row r="14" spans="1:12" s="48" customFormat="1" ht="20.399999999999999" customHeight="1" x14ac:dyDescent="0.25">
      <c r="A14" s="46" t="s">
        <v>37</v>
      </c>
      <c r="B14" s="193" t="s">
        <v>112</v>
      </c>
      <c r="C14" s="193" t="s">
        <v>113</v>
      </c>
      <c r="D14" s="193" t="s">
        <v>114</v>
      </c>
      <c r="E14" s="193" t="s">
        <v>115</v>
      </c>
      <c r="F14" s="194" t="s">
        <v>116</v>
      </c>
      <c r="G14" s="199" t="s">
        <v>18</v>
      </c>
      <c r="H14" s="199" t="s">
        <v>25</v>
      </c>
      <c r="I14" s="200" t="s">
        <v>29</v>
      </c>
      <c r="K14" s="43"/>
      <c r="L14" s="43"/>
    </row>
    <row r="15" spans="1:12" s="48" customFormat="1" ht="13.2" hidden="1" customHeight="1" x14ac:dyDescent="0.25">
      <c r="I15" s="49"/>
      <c r="K15" s="43"/>
      <c r="L15" s="43"/>
    </row>
    <row r="16" spans="1:12" s="48" customFormat="1" ht="13.2" customHeight="1" x14ac:dyDescent="0.25">
      <c r="D16" s="48" t="s">
        <v>20</v>
      </c>
      <c r="I16" s="49"/>
      <c r="K16" s="43"/>
      <c r="L16" s="43"/>
    </row>
    <row r="17" spans="1:14" s="48" customFormat="1" ht="13.2" customHeight="1" x14ac:dyDescent="0.3">
      <c r="A17" s="50">
        <v>0.92766242853039671</v>
      </c>
      <c r="B17" s="51">
        <v>1</v>
      </c>
      <c r="C17" s="52"/>
      <c r="D17" s="53" t="e">
        <v>#N/A</v>
      </c>
      <c r="E17" s="54" t="e">
        <v>#N/A</v>
      </c>
      <c r="F17" s="135" t="e">
        <v>#N/A</v>
      </c>
      <c r="G17" s="295">
        <v>0</v>
      </c>
      <c r="H17" s="57">
        <v>0</v>
      </c>
      <c r="I17" s="58">
        <v>0</v>
      </c>
      <c r="K17" s="59"/>
      <c r="L17" s="40"/>
      <c r="M17" s="60"/>
      <c r="N17" s="37"/>
    </row>
    <row r="18" spans="1:14" ht="13.2" customHeight="1" x14ac:dyDescent="0.3">
      <c r="A18" s="24">
        <v>0.73544315254718939</v>
      </c>
      <c r="B18" s="51">
        <v>2</v>
      </c>
      <c r="C18" s="52">
        <v>54</v>
      </c>
      <c r="D18" s="61" t="s">
        <v>200</v>
      </c>
      <c r="E18" s="62" t="s">
        <v>201</v>
      </c>
      <c r="F18" s="137" t="s">
        <v>197</v>
      </c>
      <c r="G18" s="295">
        <v>16.149999999999999</v>
      </c>
      <c r="H18" s="57">
        <v>0</v>
      </c>
      <c r="I18" s="58">
        <v>696</v>
      </c>
      <c r="K18" s="39"/>
      <c r="L18" s="40"/>
    </row>
    <row r="19" spans="1:14" ht="13.2" customHeight="1" x14ac:dyDescent="0.3">
      <c r="A19" s="24">
        <v>0.31556834318202065</v>
      </c>
      <c r="B19" s="51">
        <v>3</v>
      </c>
      <c r="C19" s="52">
        <v>65</v>
      </c>
      <c r="D19" s="61" t="s">
        <v>219</v>
      </c>
      <c r="E19" s="62" t="s">
        <v>220</v>
      </c>
      <c r="F19" s="137" t="s">
        <v>215</v>
      </c>
      <c r="G19" s="295">
        <v>14.63</v>
      </c>
      <c r="H19" s="57">
        <v>0</v>
      </c>
      <c r="I19" s="58">
        <v>891</v>
      </c>
      <c r="K19" s="39"/>
      <c r="L19" s="40"/>
    </row>
    <row r="20" spans="1:14" ht="13.2" customHeight="1" x14ac:dyDescent="0.3">
      <c r="A20" s="24">
        <v>0.33793293131377222</v>
      </c>
      <c r="B20" s="51">
        <v>4</v>
      </c>
      <c r="C20" s="52">
        <v>23</v>
      </c>
      <c r="D20" s="61" t="s">
        <v>185</v>
      </c>
      <c r="E20" s="62" t="s">
        <v>186</v>
      </c>
      <c r="F20" s="137" t="s">
        <v>188</v>
      </c>
      <c r="G20" s="295">
        <v>14.67</v>
      </c>
      <c r="H20" s="57">
        <v>0</v>
      </c>
      <c r="I20" s="58">
        <v>886</v>
      </c>
      <c r="K20" s="39"/>
      <c r="L20" s="40"/>
    </row>
    <row r="21" spans="1:14" ht="13.2" customHeight="1" x14ac:dyDescent="0.3">
      <c r="A21" s="24">
        <v>0.61141745801948932</v>
      </c>
      <c r="B21" s="51">
        <v>5</v>
      </c>
      <c r="C21" s="52">
        <v>61</v>
      </c>
      <c r="D21" s="61" t="s">
        <v>205</v>
      </c>
      <c r="E21" s="62" t="s">
        <v>206</v>
      </c>
      <c r="F21" s="137" t="s">
        <v>197</v>
      </c>
      <c r="G21" s="295">
        <v>0</v>
      </c>
      <c r="H21" s="57">
        <v>0</v>
      </c>
      <c r="I21" s="58">
        <v>0</v>
      </c>
      <c r="K21" s="39"/>
      <c r="L21" s="40"/>
      <c r="M21" s="323"/>
    </row>
    <row r="22" spans="1:14" ht="13.2" customHeight="1" x14ac:dyDescent="0.3">
      <c r="A22" s="24">
        <v>0.2684888041068767</v>
      </c>
      <c r="B22" s="51">
        <v>6</v>
      </c>
      <c r="C22" s="52">
        <v>117</v>
      </c>
      <c r="D22" s="61" t="s">
        <v>229</v>
      </c>
      <c r="E22" s="62" t="s">
        <v>230</v>
      </c>
      <c r="F22" s="137" t="s">
        <v>232</v>
      </c>
      <c r="G22" s="295">
        <v>14.95</v>
      </c>
      <c r="H22" s="57">
        <v>0</v>
      </c>
      <c r="I22" s="58">
        <v>848</v>
      </c>
      <c r="K22" s="39"/>
      <c r="L22" s="40"/>
    </row>
    <row r="23" spans="1:14" ht="13.2" customHeight="1" x14ac:dyDescent="0.3">
      <c r="A23" s="24">
        <v>0.41715537849329731</v>
      </c>
      <c r="B23" s="51">
        <v>7</v>
      </c>
      <c r="C23" s="52"/>
      <c r="D23" s="61"/>
      <c r="E23" s="62"/>
      <c r="F23" s="137"/>
      <c r="G23" s="295">
        <v>0</v>
      </c>
      <c r="H23" s="57">
        <v>0</v>
      </c>
      <c r="I23" s="58">
        <v>0</v>
      </c>
      <c r="K23" s="39"/>
      <c r="L23" s="40"/>
    </row>
    <row r="24" spans="1:14" ht="13.2" customHeight="1" x14ac:dyDescent="0.3">
      <c r="A24" s="50">
        <v>0.9096053093963512</v>
      </c>
      <c r="B24" s="51">
        <v>8</v>
      </c>
      <c r="C24" s="64"/>
      <c r="D24" s="53" t="e">
        <v>#N/A</v>
      </c>
      <c r="E24" s="54" t="e">
        <v>#N/A</v>
      </c>
      <c r="F24" s="135" t="e">
        <v>#N/A</v>
      </c>
      <c r="G24" s="295">
        <v>0</v>
      </c>
      <c r="H24" s="57">
        <v>0</v>
      </c>
      <c r="I24" s="58">
        <v>0</v>
      </c>
      <c r="J24" s="50"/>
      <c r="K24" s="39"/>
      <c r="L24" s="40"/>
    </row>
    <row r="25" spans="1:14" s="48" customFormat="1" ht="13.2" hidden="1" customHeight="1" x14ac:dyDescent="0.25">
      <c r="D25" s="65"/>
      <c r="F25" s="65"/>
      <c r="G25" s="66"/>
      <c r="H25" s="66"/>
      <c r="I25" s="67"/>
      <c r="K25" s="43"/>
      <c r="L25" s="43"/>
    </row>
    <row r="26" spans="1:14" s="48" customFormat="1" ht="13.2" customHeight="1" x14ac:dyDescent="0.25">
      <c r="D26" s="65" t="s">
        <v>64</v>
      </c>
      <c r="F26" s="65"/>
      <c r="G26" s="66"/>
      <c r="H26" s="66"/>
      <c r="I26" s="67"/>
      <c r="K26" s="43"/>
      <c r="L26" s="43"/>
    </row>
    <row r="27" spans="1:14" s="48" customFormat="1" ht="13.2" customHeight="1" x14ac:dyDescent="0.3">
      <c r="A27" s="50">
        <v>0.80658299529819466</v>
      </c>
      <c r="B27" s="51">
        <v>1</v>
      </c>
      <c r="C27" s="52"/>
      <c r="D27" s="53" t="e">
        <v>#N/A</v>
      </c>
      <c r="E27" s="54" t="e">
        <v>#N/A</v>
      </c>
      <c r="F27" s="135" t="e">
        <v>#N/A</v>
      </c>
      <c r="G27" s="295">
        <v>0</v>
      </c>
      <c r="H27" s="57">
        <v>0</v>
      </c>
      <c r="I27" s="58">
        <v>0</v>
      </c>
      <c r="K27" s="59"/>
      <c r="L27" s="40"/>
      <c r="M27" s="60"/>
      <c r="N27" s="37"/>
    </row>
    <row r="28" spans="1:14" ht="13.2" customHeight="1" x14ac:dyDescent="0.3">
      <c r="A28" s="24">
        <v>0.78950805597125417</v>
      </c>
      <c r="B28" s="51">
        <v>2</v>
      </c>
      <c r="C28" s="52">
        <v>109</v>
      </c>
      <c r="D28" s="61" t="s">
        <v>235</v>
      </c>
      <c r="E28" s="62" t="s">
        <v>236</v>
      </c>
      <c r="F28" s="137" t="s">
        <v>238</v>
      </c>
      <c r="G28" s="295">
        <v>16.48</v>
      </c>
      <c r="H28" s="57">
        <v>1.2</v>
      </c>
      <c r="I28" s="58">
        <v>657</v>
      </c>
      <c r="K28" s="39"/>
      <c r="L28" s="40"/>
    </row>
    <row r="29" spans="1:14" ht="13.2" customHeight="1" x14ac:dyDescent="0.3">
      <c r="A29" s="24">
        <v>0.62670951534464425</v>
      </c>
      <c r="B29" s="51">
        <v>3</v>
      </c>
      <c r="C29" s="52">
        <v>64</v>
      </c>
      <c r="D29" s="61" t="s">
        <v>213</v>
      </c>
      <c r="E29" s="62" t="s">
        <v>214</v>
      </c>
      <c r="F29" s="137" t="s">
        <v>215</v>
      </c>
      <c r="G29" s="295">
        <v>15.87</v>
      </c>
      <c r="H29" s="57">
        <v>1.2</v>
      </c>
      <c r="I29" s="58">
        <v>730</v>
      </c>
      <c r="K29" s="39"/>
      <c r="L29" s="40"/>
    </row>
    <row r="30" spans="1:14" ht="13.2" customHeight="1" x14ac:dyDescent="0.3">
      <c r="A30" s="24">
        <v>0.23576804399811202</v>
      </c>
      <c r="B30" s="51">
        <v>4</v>
      </c>
      <c r="C30" s="52">
        <v>66</v>
      </c>
      <c r="D30" s="61" t="s">
        <v>217</v>
      </c>
      <c r="E30" s="62" t="s">
        <v>132</v>
      </c>
      <c r="F30" s="137" t="s">
        <v>215</v>
      </c>
      <c r="G30" s="295">
        <v>15.73</v>
      </c>
      <c r="H30" s="57">
        <v>1.2</v>
      </c>
      <c r="I30" s="58">
        <v>748</v>
      </c>
      <c r="K30" s="39"/>
      <c r="L30" s="40"/>
    </row>
    <row r="31" spans="1:14" ht="13.2" customHeight="1" x14ac:dyDescent="0.3">
      <c r="A31" s="24">
        <v>0.40194508722424782</v>
      </c>
      <c r="B31" s="51">
        <v>5</v>
      </c>
      <c r="C31" s="52">
        <v>25</v>
      </c>
      <c r="D31" s="61" t="s">
        <v>179</v>
      </c>
      <c r="E31" s="62" t="s">
        <v>180</v>
      </c>
      <c r="F31" s="137" t="s">
        <v>182</v>
      </c>
      <c r="G31" s="295">
        <v>15.41</v>
      </c>
      <c r="H31" s="57">
        <v>1.2</v>
      </c>
      <c r="I31" s="58">
        <v>788</v>
      </c>
      <c r="K31" s="39"/>
      <c r="L31" s="40"/>
    </row>
    <row r="32" spans="1:14" ht="13.2" customHeight="1" x14ac:dyDescent="0.3">
      <c r="A32" s="24">
        <v>4.170905235730471E-2</v>
      </c>
      <c r="B32" s="51">
        <v>6</v>
      </c>
      <c r="C32" s="52">
        <v>56</v>
      </c>
      <c r="D32" s="61" t="s">
        <v>209</v>
      </c>
      <c r="E32" s="62" t="s">
        <v>210</v>
      </c>
      <c r="F32" s="137" t="s">
        <v>197</v>
      </c>
      <c r="G32" s="295">
        <v>15.04</v>
      </c>
      <c r="H32" s="57">
        <v>1.2</v>
      </c>
      <c r="I32" s="58">
        <v>836</v>
      </c>
      <c r="K32" s="39"/>
      <c r="L32" s="40"/>
    </row>
    <row r="33" spans="1:14" ht="13.2" customHeight="1" x14ac:dyDescent="0.3">
      <c r="A33" s="24">
        <v>0.28593533844010577</v>
      </c>
      <c r="B33" s="51">
        <v>7</v>
      </c>
      <c r="C33" s="52"/>
      <c r="D33" s="61"/>
      <c r="E33" s="62"/>
      <c r="F33" s="137"/>
      <c r="G33" s="295">
        <v>0</v>
      </c>
      <c r="H33" s="57">
        <v>0</v>
      </c>
      <c r="I33" s="58">
        <v>0</v>
      </c>
      <c r="K33" s="39"/>
      <c r="L33" s="40"/>
    </row>
    <row r="34" spans="1:14" ht="13.2" customHeight="1" x14ac:dyDescent="0.3">
      <c r="A34" s="50">
        <v>0.44207094219166088</v>
      </c>
      <c r="B34" s="51">
        <v>8</v>
      </c>
      <c r="C34" s="64"/>
      <c r="D34" s="53" t="e">
        <v>#N/A</v>
      </c>
      <c r="E34" s="54" t="e">
        <v>#N/A</v>
      </c>
      <c r="F34" s="135" t="e">
        <v>#N/A</v>
      </c>
      <c r="G34" s="295">
        <v>0</v>
      </c>
      <c r="H34" s="57">
        <v>0</v>
      </c>
      <c r="I34" s="58">
        <v>0</v>
      </c>
      <c r="K34" s="39"/>
      <c r="L34" s="40"/>
    </row>
    <row r="35" spans="1:14" s="48" customFormat="1" ht="13.2" hidden="1" customHeight="1" x14ac:dyDescent="0.25">
      <c r="D35" s="65"/>
      <c r="F35" s="65"/>
      <c r="G35" s="66"/>
      <c r="H35" s="66"/>
      <c r="I35" s="67"/>
      <c r="K35" s="43"/>
      <c r="L35" s="43"/>
    </row>
    <row r="36" spans="1:14" s="48" customFormat="1" ht="13.2" customHeight="1" x14ac:dyDescent="0.25">
      <c r="D36" s="65" t="s">
        <v>65</v>
      </c>
      <c r="F36" s="65"/>
      <c r="G36" s="66"/>
      <c r="H36" s="66"/>
      <c r="I36" s="67"/>
      <c r="K36" s="43"/>
      <c r="L36" s="43"/>
    </row>
    <row r="37" spans="1:14" s="48" customFormat="1" ht="13.2" customHeight="1" x14ac:dyDescent="0.3">
      <c r="A37" s="50">
        <v>0.16570434366608477</v>
      </c>
      <c r="B37" s="51">
        <v>1</v>
      </c>
      <c r="C37" s="52"/>
      <c r="D37" s="53" t="e">
        <v>#N/A</v>
      </c>
      <c r="E37" s="54" t="e">
        <v>#N/A</v>
      </c>
      <c r="F37" s="135" t="e">
        <v>#N/A</v>
      </c>
      <c r="G37" s="295">
        <v>0</v>
      </c>
      <c r="H37" s="57">
        <v>0</v>
      </c>
      <c r="I37" s="58">
        <v>0</v>
      </c>
      <c r="K37" s="59"/>
      <c r="L37" s="40"/>
      <c r="M37" s="37"/>
      <c r="N37" s="37"/>
    </row>
    <row r="38" spans="1:14" ht="13.2" customHeight="1" x14ac:dyDescent="0.3">
      <c r="A38" s="24">
        <v>0.93621252564011925</v>
      </c>
      <c r="B38" s="51">
        <v>2</v>
      </c>
      <c r="C38" s="52">
        <v>12</v>
      </c>
      <c r="D38" s="61" t="s">
        <v>134</v>
      </c>
      <c r="E38" s="62" t="s">
        <v>131</v>
      </c>
      <c r="F38" s="137" t="s">
        <v>177</v>
      </c>
      <c r="G38" s="295">
        <v>14.99</v>
      </c>
      <c r="H38" s="57">
        <v>0</v>
      </c>
      <c r="I38" s="58">
        <v>843</v>
      </c>
      <c r="K38" s="39"/>
      <c r="L38" s="40"/>
    </row>
    <row r="39" spans="1:14" ht="13.2" customHeight="1" x14ac:dyDescent="0.3">
      <c r="A39" s="24">
        <v>0.50710523286329767</v>
      </c>
      <c r="B39" s="51">
        <v>3</v>
      </c>
      <c r="C39" s="52">
        <v>10</v>
      </c>
      <c r="D39" s="61" t="s">
        <v>140</v>
      </c>
      <c r="E39" s="62" t="s">
        <v>141</v>
      </c>
      <c r="F39" s="137" t="s">
        <v>170</v>
      </c>
      <c r="G39" s="295">
        <v>13.77</v>
      </c>
      <c r="H39" s="57">
        <v>0</v>
      </c>
      <c r="I39" s="58">
        <v>1011</v>
      </c>
      <c r="K39" s="39"/>
      <c r="L39" s="40"/>
    </row>
    <row r="40" spans="1:14" ht="13.2" customHeight="1" x14ac:dyDescent="0.3">
      <c r="A40" s="24">
        <v>8.3353147801359384E-3</v>
      </c>
      <c r="B40" s="51">
        <v>4</v>
      </c>
      <c r="C40" s="52">
        <v>8</v>
      </c>
      <c r="D40" s="61" t="s">
        <v>133</v>
      </c>
      <c r="E40" s="62" t="s">
        <v>130</v>
      </c>
      <c r="F40" s="137" t="s">
        <v>192</v>
      </c>
      <c r="G40" s="295">
        <v>14.98</v>
      </c>
      <c r="H40" s="57">
        <v>0</v>
      </c>
      <c r="I40" s="58">
        <v>844</v>
      </c>
      <c r="K40" s="39"/>
      <c r="L40" s="40"/>
    </row>
    <row r="41" spans="1:14" ht="13.2" customHeight="1" x14ac:dyDescent="0.3">
      <c r="A41" s="24">
        <v>0.88323074953945735</v>
      </c>
      <c r="B41" s="51">
        <v>5</v>
      </c>
      <c r="C41" s="52">
        <v>55</v>
      </c>
      <c r="D41" s="61" t="s">
        <v>194</v>
      </c>
      <c r="E41" s="62" t="s">
        <v>195</v>
      </c>
      <c r="F41" s="137" t="s">
        <v>197</v>
      </c>
      <c r="G41" s="295">
        <v>14.27</v>
      </c>
      <c r="H41" s="57">
        <v>0</v>
      </c>
      <c r="I41" s="58">
        <v>941</v>
      </c>
      <c r="K41" s="39"/>
      <c r="L41" s="40"/>
    </row>
    <row r="42" spans="1:14" ht="13.2" customHeight="1" x14ac:dyDescent="0.3">
      <c r="A42" s="24">
        <v>0.64567485159675742</v>
      </c>
      <c r="B42" s="51">
        <v>6</v>
      </c>
      <c r="C42" s="52">
        <v>9</v>
      </c>
      <c r="D42" s="61" t="s">
        <v>142</v>
      </c>
      <c r="E42" s="62" t="s">
        <v>143</v>
      </c>
      <c r="F42" s="137" t="s">
        <v>175</v>
      </c>
      <c r="G42" s="295">
        <v>14.4</v>
      </c>
      <c r="H42" s="57">
        <v>0</v>
      </c>
      <c r="I42" s="58">
        <v>923</v>
      </c>
      <c r="K42" s="39"/>
      <c r="L42" s="40"/>
    </row>
    <row r="43" spans="1:14" ht="13.2" customHeight="1" x14ac:dyDescent="0.3">
      <c r="A43" s="24">
        <v>0.44309333465821421</v>
      </c>
      <c r="B43" s="51">
        <v>7</v>
      </c>
      <c r="C43" s="52">
        <v>69</v>
      </c>
      <c r="D43" s="61" t="s">
        <v>223</v>
      </c>
      <c r="E43" s="62" t="s">
        <v>224</v>
      </c>
      <c r="F43" s="137" t="s">
        <v>226</v>
      </c>
      <c r="G43" s="295">
        <v>14.4</v>
      </c>
      <c r="H43" s="57">
        <v>0</v>
      </c>
      <c r="I43" s="58">
        <v>923</v>
      </c>
      <c r="J43" s="418"/>
      <c r="K43" s="39"/>
      <c r="L43" s="40"/>
    </row>
    <row r="44" spans="1:14" ht="13.2" customHeight="1" x14ac:dyDescent="0.3">
      <c r="A44" s="50">
        <v>0.76012688182303156</v>
      </c>
      <c r="B44" s="51">
        <v>8</v>
      </c>
      <c r="C44" s="64"/>
      <c r="D44" s="53"/>
      <c r="E44" s="54"/>
      <c r="F44" s="135"/>
      <c r="G44" s="295">
        <v>0</v>
      </c>
      <c r="H44" s="57">
        <v>0</v>
      </c>
      <c r="I44" s="58">
        <v>0</v>
      </c>
      <c r="K44" s="39"/>
      <c r="L44" s="40"/>
    </row>
    <row r="45" spans="1:14" ht="13.8" x14ac:dyDescent="0.3">
      <c r="A45" s="50"/>
      <c r="B45" s="37"/>
      <c r="C45" s="68"/>
      <c r="D45" s="69"/>
      <c r="E45" s="70"/>
      <c r="F45" s="71"/>
      <c r="G45" s="72"/>
      <c r="H45" s="73"/>
      <c r="I45" s="67"/>
      <c r="K45" s="39"/>
      <c r="L45" s="40"/>
    </row>
    <row r="46" spans="1:14" s="293" customFormat="1" ht="13.8" x14ac:dyDescent="0.3">
      <c r="A46" s="50"/>
      <c r="B46" s="294" t="s">
        <v>148</v>
      </c>
      <c r="C46" s="68"/>
      <c r="D46" s="69"/>
      <c r="E46" s="70"/>
      <c r="F46" s="71"/>
      <c r="G46" s="72"/>
      <c r="H46" s="73"/>
      <c r="I46" s="67"/>
      <c r="K46" s="39"/>
      <c r="L46" s="40"/>
    </row>
    <row r="47" spans="1:14" s="293" customFormat="1" ht="13.8" x14ac:dyDescent="0.3">
      <c r="A47" s="50"/>
      <c r="B47" s="294" t="s">
        <v>149</v>
      </c>
      <c r="C47" s="68"/>
      <c r="D47" s="69"/>
      <c r="E47" s="70"/>
      <c r="F47" s="71"/>
      <c r="G47" s="72"/>
      <c r="H47" s="73"/>
      <c r="I47" s="67"/>
      <c r="K47" s="39"/>
      <c r="L47" s="40"/>
    </row>
    <row r="48" spans="1:14" ht="13.8" x14ac:dyDescent="0.3">
      <c r="B48" s="294" t="s">
        <v>150</v>
      </c>
      <c r="C48" s="74"/>
      <c r="F48" s="75"/>
      <c r="H48" s="76"/>
      <c r="I48" s="77"/>
      <c r="K48" s="39"/>
      <c r="L48" s="78"/>
    </row>
    <row r="49" spans="1:14" s="48" customFormat="1" x14ac:dyDescent="0.25">
      <c r="F49" s="65"/>
      <c r="G49" s="66"/>
      <c r="H49" s="66"/>
      <c r="I49" s="67"/>
      <c r="K49" s="43"/>
      <c r="L49" s="43"/>
    </row>
    <row r="50" spans="1:14" s="48" customFormat="1" ht="13.8" x14ac:dyDescent="0.3">
      <c r="A50" s="50">
        <f ca="1">RAND()</f>
        <v>2.6548023072886839E-2</v>
      </c>
      <c r="B50" s="51"/>
      <c r="C50" s="79"/>
      <c r="D50" s="80"/>
      <c r="E50" s="54"/>
      <c r="F50" s="55"/>
      <c r="G50" s="56"/>
      <c r="H50" s="57"/>
      <c r="I50" s="58"/>
      <c r="K50" s="59"/>
      <c r="L50" s="40"/>
      <c r="M50" s="37"/>
      <c r="N50" s="37"/>
    </row>
    <row r="51" spans="1:14" ht="13.8" x14ac:dyDescent="0.3">
      <c r="A51" s="24">
        <f t="shared" ref="A51:A57" ca="1" si="0">RAND()</f>
        <v>0.92088583368155463</v>
      </c>
      <c r="B51" s="51"/>
      <c r="C51" s="81"/>
      <c r="D51" s="82"/>
      <c r="E51" s="62"/>
      <c r="F51" s="63"/>
      <c r="G51" s="56"/>
      <c r="H51" s="57"/>
      <c r="I51" s="58"/>
      <c r="K51" s="39"/>
      <c r="L51" s="40"/>
    </row>
    <row r="52" spans="1:14" ht="13.8" x14ac:dyDescent="0.3">
      <c r="A52" s="24">
        <f t="shared" ca="1" si="0"/>
        <v>0.41581704159470789</v>
      </c>
      <c r="B52" s="51"/>
      <c r="C52" s="81"/>
      <c r="D52" s="82"/>
      <c r="E52" s="62"/>
      <c r="F52" s="63"/>
      <c r="G52" s="56"/>
      <c r="H52" s="57"/>
      <c r="I52" s="58"/>
      <c r="K52" s="39"/>
      <c r="L52" s="40"/>
    </row>
    <row r="53" spans="1:14" ht="13.8" x14ac:dyDescent="0.3">
      <c r="A53" s="24">
        <f t="shared" ca="1" si="0"/>
        <v>0.4800425000682953</v>
      </c>
      <c r="B53" s="51"/>
      <c r="C53" s="81"/>
      <c r="D53" s="82"/>
      <c r="E53" s="62"/>
      <c r="F53" s="63"/>
      <c r="G53" s="56"/>
      <c r="H53" s="57"/>
      <c r="I53" s="58"/>
      <c r="K53" s="39"/>
      <c r="L53" s="40"/>
    </row>
    <row r="54" spans="1:14" ht="13.8" x14ac:dyDescent="0.3">
      <c r="A54" s="24">
        <f t="shared" ca="1" si="0"/>
        <v>0.47910381840177851</v>
      </c>
      <c r="B54" s="51"/>
      <c r="C54" s="81"/>
      <c r="D54" s="82"/>
      <c r="E54" s="62"/>
      <c r="F54" s="63"/>
      <c r="G54" s="56"/>
      <c r="H54" s="57"/>
      <c r="I54" s="58"/>
      <c r="K54" s="39"/>
      <c r="L54" s="40"/>
    </row>
    <row r="55" spans="1:14" ht="13.8" x14ac:dyDescent="0.3">
      <c r="A55" s="24">
        <f t="shared" ca="1" si="0"/>
        <v>0.69241769709568424</v>
      </c>
      <c r="B55" s="51"/>
      <c r="C55" s="81"/>
      <c r="D55" s="82"/>
      <c r="E55" s="62"/>
      <c r="F55" s="63"/>
      <c r="G55" s="56"/>
      <c r="H55" s="57"/>
      <c r="I55" s="58"/>
      <c r="K55" s="39"/>
      <c r="L55" s="40"/>
    </row>
    <row r="56" spans="1:14" ht="13.8" x14ac:dyDescent="0.3">
      <c r="A56" s="50">
        <f t="shared" ca="1" si="0"/>
        <v>0.36849023803819747</v>
      </c>
      <c r="B56" s="51"/>
      <c r="C56" s="81"/>
      <c r="D56" s="82"/>
      <c r="E56" s="62"/>
      <c r="F56" s="63"/>
      <c r="G56" s="56"/>
      <c r="H56" s="57"/>
      <c r="I56" s="58"/>
      <c r="K56" s="39"/>
      <c r="L56" s="40"/>
    </row>
    <row r="57" spans="1:14" ht="13.8" x14ac:dyDescent="0.3">
      <c r="A57" s="50">
        <f t="shared" ca="1" si="0"/>
        <v>0.25639077854209535</v>
      </c>
      <c r="B57" s="51"/>
      <c r="C57" s="64"/>
      <c r="D57" s="80"/>
      <c r="E57" s="54"/>
      <c r="F57" s="55"/>
      <c r="G57" s="56"/>
      <c r="H57" s="57"/>
      <c r="I57" s="58"/>
      <c r="K57" s="39"/>
      <c r="L57" s="40"/>
    </row>
    <row r="59" spans="1:14" ht="13.8" hidden="1" outlineLevel="1" x14ac:dyDescent="0.3">
      <c r="A59" s="37"/>
      <c r="B59" s="37"/>
      <c r="D59" s="48"/>
      <c r="E59" s="83"/>
      <c r="F59" s="75"/>
      <c r="G59" s="66"/>
      <c r="H59" s="76"/>
      <c r="I59" s="77"/>
      <c r="K59" s="39"/>
      <c r="L59" s="78"/>
    </row>
    <row r="60" spans="1:14" ht="13.8" hidden="1" outlineLevel="1" x14ac:dyDescent="0.3">
      <c r="A60" s="37"/>
      <c r="B60" s="51"/>
      <c r="C60" s="84"/>
      <c r="D60" s="82"/>
      <c r="E60" s="62"/>
      <c r="F60" s="85"/>
      <c r="G60" s="56"/>
      <c r="H60" s="57"/>
      <c r="I60" s="58"/>
      <c r="K60" s="39"/>
      <c r="L60" s="40"/>
    </row>
    <row r="61" spans="1:14" ht="13.8" hidden="1" outlineLevel="1" x14ac:dyDescent="0.3">
      <c r="A61" s="24">
        <f ca="1">RAND()</f>
        <v>4.2722530029865813E-2</v>
      </c>
      <c r="B61" s="51"/>
      <c r="C61" s="52"/>
      <c r="D61" s="82"/>
      <c r="E61" s="62"/>
      <c r="F61" s="85"/>
      <c r="G61" s="56"/>
      <c r="H61" s="57"/>
      <c r="I61" s="58"/>
      <c r="K61" s="39"/>
      <c r="L61" s="40"/>
    </row>
    <row r="62" spans="1:14" ht="13.8" hidden="1" outlineLevel="1" x14ac:dyDescent="0.3">
      <c r="A62" s="24">
        <f t="shared" ref="A62:A68" ca="1" si="1">RAND()</f>
        <v>0.8416365284596955</v>
      </c>
      <c r="B62" s="51"/>
      <c r="C62" s="52"/>
      <c r="D62" s="82"/>
      <c r="E62" s="62"/>
      <c r="F62" s="85"/>
      <c r="G62" s="56"/>
      <c r="H62" s="57"/>
      <c r="I62" s="58"/>
      <c r="K62" s="39"/>
      <c r="L62" s="40"/>
    </row>
    <row r="63" spans="1:14" ht="13.8" hidden="1" outlineLevel="1" x14ac:dyDescent="0.3">
      <c r="A63" s="24">
        <f t="shared" ca="1" si="1"/>
        <v>0.99958499818634694</v>
      </c>
      <c r="B63" s="51"/>
      <c r="C63" s="52"/>
      <c r="D63" s="82"/>
      <c r="E63" s="62"/>
      <c r="F63" s="85"/>
      <c r="G63" s="56"/>
      <c r="H63" s="57"/>
      <c r="I63" s="58"/>
      <c r="K63" s="39"/>
      <c r="L63" s="40"/>
    </row>
    <row r="64" spans="1:14" ht="13.8" hidden="1" outlineLevel="1" x14ac:dyDescent="0.3">
      <c r="A64" s="24">
        <f t="shared" ca="1" si="1"/>
        <v>0.52185199413514782</v>
      </c>
      <c r="B64" s="51"/>
      <c r="C64" s="52"/>
      <c r="D64" s="82"/>
      <c r="E64" s="62"/>
      <c r="F64" s="85"/>
      <c r="G64" s="56"/>
      <c r="H64" s="57"/>
      <c r="I64" s="58"/>
      <c r="K64" s="39"/>
      <c r="L64" s="40"/>
    </row>
    <row r="65" spans="1:12" ht="13.8" hidden="1" outlineLevel="1" x14ac:dyDescent="0.3">
      <c r="A65" s="24">
        <f t="shared" ca="1" si="1"/>
        <v>0.18344314444074017</v>
      </c>
      <c r="B65" s="51"/>
      <c r="C65" s="52"/>
      <c r="D65" s="82"/>
      <c r="E65" s="62"/>
      <c r="F65" s="85"/>
      <c r="G65" s="56"/>
      <c r="H65" s="57"/>
      <c r="I65" s="58"/>
      <c r="K65" s="39"/>
      <c r="L65" s="40"/>
    </row>
    <row r="66" spans="1:12" ht="13.8" hidden="1" outlineLevel="1" x14ac:dyDescent="0.3">
      <c r="A66" s="24">
        <f t="shared" ca="1" si="1"/>
        <v>0.3389955826222949</v>
      </c>
      <c r="B66" s="51"/>
      <c r="C66" s="52"/>
      <c r="D66" s="82"/>
      <c r="E66" s="62"/>
      <c r="F66" s="85"/>
      <c r="G66" s="56"/>
      <c r="H66" s="57"/>
      <c r="I66" s="58"/>
      <c r="K66" s="39"/>
      <c r="L66" s="40"/>
    </row>
    <row r="67" spans="1:12" ht="13.8" hidden="1" outlineLevel="1" x14ac:dyDescent="0.3">
      <c r="A67" s="24">
        <f t="shared" ca="1" si="1"/>
        <v>0.24517851271148361</v>
      </c>
      <c r="B67" s="51"/>
      <c r="C67" s="52"/>
      <c r="D67" s="82"/>
      <c r="E67" s="62"/>
      <c r="F67" s="85"/>
      <c r="G67" s="56"/>
      <c r="H67" s="57"/>
      <c r="I67" s="58"/>
      <c r="K67" s="39"/>
      <c r="L67" s="40"/>
    </row>
    <row r="68" spans="1:12" ht="13.8" hidden="1" outlineLevel="1" x14ac:dyDescent="0.3">
      <c r="A68" s="24">
        <f t="shared" ca="1" si="1"/>
        <v>0.67156735000220602</v>
      </c>
      <c r="B68" s="37"/>
      <c r="E68" s="83"/>
      <c r="F68" s="75"/>
      <c r="G68" s="66"/>
      <c r="H68" s="76"/>
      <c r="I68" s="77"/>
      <c r="K68" s="39"/>
      <c r="L68" s="78"/>
    </row>
    <row r="69" spans="1:12" ht="13.8" hidden="1" outlineLevel="1" x14ac:dyDescent="0.3">
      <c r="A69" s="37"/>
      <c r="B69" s="37"/>
      <c r="D69" s="48"/>
      <c r="E69" s="83"/>
      <c r="F69" s="75"/>
      <c r="G69" s="66"/>
      <c r="H69" s="76"/>
      <c r="I69" s="77"/>
      <c r="K69" s="39"/>
      <c r="L69" s="78"/>
    </row>
    <row r="70" spans="1:12" ht="13.8" hidden="1" outlineLevel="1" x14ac:dyDescent="0.3">
      <c r="A70" s="37"/>
      <c r="B70" s="51"/>
      <c r="C70" s="52"/>
      <c r="D70" s="82"/>
      <c r="E70" s="62"/>
      <c r="F70" s="85"/>
      <c r="G70" s="56"/>
      <c r="H70" s="57"/>
      <c r="I70" s="58"/>
      <c r="K70" s="39"/>
      <c r="L70" s="40"/>
    </row>
    <row r="71" spans="1:12" ht="13.8" hidden="1" outlineLevel="1" x14ac:dyDescent="0.3">
      <c r="A71" s="24">
        <f ca="1">RAND()</f>
        <v>0.64080382555528603</v>
      </c>
      <c r="B71" s="51"/>
      <c r="C71" s="52"/>
      <c r="D71" s="82"/>
      <c r="E71" s="62"/>
      <c r="F71" s="85"/>
      <c r="G71" s="56"/>
      <c r="H71" s="57"/>
      <c r="I71" s="58"/>
      <c r="K71" s="39"/>
      <c r="L71" s="40"/>
    </row>
    <row r="72" spans="1:12" ht="13.8" hidden="1" outlineLevel="1" x14ac:dyDescent="0.3">
      <c r="A72" s="24">
        <f t="shared" ref="A72:A78" ca="1" si="2">RAND()</f>
        <v>0.93223750185176779</v>
      </c>
      <c r="B72" s="51"/>
      <c r="C72" s="52"/>
      <c r="D72" s="82"/>
      <c r="E72" s="62"/>
      <c r="F72" s="85"/>
      <c r="G72" s="56"/>
      <c r="H72" s="57"/>
      <c r="I72" s="58"/>
      <c r="K72" s="39"/>
      <c r="L72" s="40"/>
    </row>
    <row r="73" spans="1:12" ht="13.8" hidden="1" outlineLevel="1" x14ac:dyDescent="0.3">
      <c r="A73" s="24">
        <f t="shared" ca="1" si="2"/>
        <v>0.48066043975868922</v>
      </c>
      <c r="B73" s="51"/>
      <c r="C73" s="52"/>
      <c r="D73" s="82"/>
      <c r="E73" s="62"/>
      <c r="F73" s="85"/>
      <c r="G73" s="56"/>
      <c r="H73" s="57"/>
      <c r="I73" s="58"/>
      <c r="K73" s="39"/>
      <c r="L73" s="40"/>
    </row>
    <row r="74" spans="1:12" ht="13.8" hidden="1" outlineLevel="1" x14ac:dyDescent="0.3">
      <c r="A74" s="24">
        <f t="shared" ca="1" si="2"/>
        <v>0.42526207461221166</v>
      </c>
      <c r="B74" s="51"/>
      <c r="C74" s="52"/>
      <c r="D74" s="82"/>
      <c r="E74" s="62"/>
      <c r="F74" s="85"/>
      <c r="G74" s="56"/>
      <c r="H74" s="57"/>
      <c r="I74" s="58"/>
      <c r="K74" s="39"/>
      <c r="L74" s="40"/>
    </row>
    <row r="75" spans="1:12" ht="13.8" hidden="1" outlineLevel="1" x14ac:dyDescent="0.3">
      <c r="A75" s="24">
        <f t="shared" ca="1" si="2"/>
        <v>8.8376595383575007E-2</v>
      </c>
      <c r="B75" s="51"/>
      <c r="C75" s="52"/>
      <c r="D75" s="82"/>
      <c r="E75" s="62"/>
      <c r="F75" s="85"/>
      <c r="G75" s="56"/>
      <c r="H75" s="57"/>
      <c r="I75" s="58"/>
      <c r="K75" s="39"/>
      <c r="L75" s="40"/>
    </row>
    <row r="76" spans="1:12" ht="13.8" hidden="1" outlineLevel="1" x14ac:dyDescent="0.3">
      <c r="A76" s="24">
        <f t="shared" ca="1" si="2"/>
        <v>4.8053312744910315E-2</v>
      </c>
      <c r="B76" s="51"/>
      <c r="C76" s="52"/>
      <c r="D76" s="82"/>
      <c r="E76" s="62"/>
      <c r="F76" s="85"/>
      <c r="G76" s="56"/>
      <c r="H76" s="57"/>
      <c r="I76" s="58"/>
      <c r="K76" s="39"/>
      <c r="L76" s="40"/>
    </row>
    <row r="77" spans="1:12" ht="13.8" hidden="1" outlineLevel="1" x14ac:dyDescent="0.3">
      <c r="A77" s="24">
        <f t="shared" ca="1" si="2"/>
        <v>3.4068120390661538E-2</v>
      </c>
      <c r="B77" s="51"/>
      <c r="C77" s="52"/>
      <c r="D77" s="82"/>
      <c r="E77" s="62"/>
      <c r="F77" s="85"/>
      <c r="G77" s="56"/>
      <c r="H77" s="57"/>
      <c r="I77" s="58"/>
      <c r="K77" s="39"/>
      <c r="L77" s="40"/>
    </row>
    <row r="78" spans="1:12" ht="13.8" hidden="1" outlineLevel="1" x14ac:dyDescent="0.3">
      <c r="A78" s="24">
        <f t="shared" ca="1" si="2"/>
        <v>0.11605618562187403</v>
      </c>
      <c r="B78" s="37"/>
      <c r="C78" s="86"/>
      <c r="E78" s="83"/>
      <c r="F78" s="75"/>
      <c r="G78" s="66"/>
      <c r="H78" s="73"/>
      <c r="I78" s="77"/>
      <c r="K78" s="39"/>
      <c r="L78" s="40"/>
    </row>
    <row r="79" spans="1:12" ht="13.8" hidden="1" outlineLevel="1" x14ac:dyDescent="0.3">
      <c r="A79" s="37"/>
      <c r="B79" s="37"/>
      <c r="D79" s="48"/>
      <c r="E79" s="83"/>
      <c r="F79" s="75"/>
      <c r="G79" s="66"/>
      <c r="H79" s="76"/>
      <c r="I79" s="77"/>
      <c r="K79" s="39"/>
      <c r="L79" s="78"/>
    </row>
    <row r="80" spans="1:12" ht="13.8" hidden="1" outlineLevel="1" x14ac:dyDescent="0.3">
      <c r="A80" s="37"/>
      <c r="B80" s="51"/>
      <c r="C80" s="52"/>
      <c r="D80" s="82"/>
      <c r="E80" s="62"/>
      <c r="F80" s="85"/>
      <c r="G80" s="56"/>
      <c r="H80" s="57"/>
      <c r="I80" s="58"/>
      <c r="K80" s="39"/>
      <c r="L80" s="87"/>
    </row>
    <row r="81" spans="1:12" ht="13.8" hidden="1" outlineLevel="1" x14ac:dyDescent="0.3">
      <c r="A81" s="24">
        <f ca="1">RAND()</f>
        <v>0.44978495823522024</v>
      </c>
      <c r="B81" s="51"/>
      <c r="C81" s="52"/>
      <c r="D81" s="82"/>
      <c r="E81" s="62"/>
      <c r="F81" s="85"/>
      <c r="G81" s="56"/>
      <c r="H81" s="57"/>
      <c r="I81" s="58"/>
      <c r="K81" s="39"/>
      <c r="L81" s="87"/>
    </row>
    <row r="82" spans="1:12" ht="13.8" hidden="1" outlineLevel="1" x14ac:dyDescent="0.3">
      <c r="A82" s="24">
        <f t="shared" ref="A82:A87" ca="1" si="3">RAND()</f>
        <v>5.2249218426636101E-2</v>
      </c>
      <c r="B82" s="51"/>
      <c r="C82" s="52"/>
      <c r="D82" s="82"/>
      <c r="E82" s="62"/>
      <c r="F82" s="85"/>
      <c r="G82" s="56"/>
      <c r="H82" s="57"/>
      <c r="I82" s="58"/>
      <c r="K82" s="39"/>
      <c r="L82" s="87"/>
    </row>
    <row r="83" spans="1:12" ht="13.8" hidden="1" outlineLevel="1" x14ac:dyDescent="0.3">
      <c r="A83" s="24">
        <f t="shared" ca="1" si="3"/>
        <v>0.75334330524581039</v>
      </c>
      <c r="B83" s="51"/>
      <c r="C83" s="52"/>
      <c r="D83" s="82"/>
      <c r="E83" s="62"/>
      <c r="F83" s="85"/>
      <c r="G83" s="56"/>
      <c r="H83" s="57"/>
      <c r="I83" s="58"/>
      <c r="K83" s="39"/>
      <c r="L83" s="87"/>
    </row>
    <row r="84" spans="1:12" ht="13.8" hidden="1" outlineLevel="1" x14ac:dyDescent="0.3">
      <c r="A84" s="24">
        <f t="shared" ca="1" si="3"/>
        <v>0.78908709396705945</v>
      </c>
      <c r="B84" s="51"/>
      <c r="C84" s="52"/>
      <c r="D84" s="82"/>
      <c r="E84" s="62"/>
      <c r="F84" s="85"/>
      <c r="G84" s="56"/>
      <c r="H84" s="57"/>
      <c r="I84" s="58"/>
      <c r="K84" s="39"/>
      <c r="L84" s="87"/>
    </row>
    <row r="85" spans="1:12" ht="13.8" hidden="1" outlineLevel="1" x14ac:dyDescent="0.3">
      <c r="A85" s="24">
        <f t="shared" ca="1" si="3"/>
        <v>0.88972179381445493</v>
      </c>
      <c r="B85" s="51"/>
      <c r="C85" s="52"/>
      <c r="D85" s="82"/>
      <c r="E85" s="62"/>
      <c r="F85" s="85"/>
      <c r="G85" s="56"/>
      <c r="H85" s="57"/>
      <c r="I85" s="58"/>
      <c r="K85" s="39"/>
      <c r="L85" s="87"/>
    </row>
    <row r="86" spans="1:12" ht="13.8" hidden="1" outlineLevel="1" x14ac:dyDescent="0.3">
      <c r="A86" s="24">
        <f t="shared" ca="1" si="3"/>
        <v>0.81323112474635906</v>
      </c>
      <c r="B86" s="51"/>
      <c r="C86" s="52"/>
      <c r="D86" s="82"/>
      <c r="E86" s="62"/>
      <c r="F86" s="85"/>
      <c r="G86" s="56"/>
      <c r="H86" s="57"/>
      <c r="I86" s="58"/>
      <c r="K86" s="39"/>
      <c r="L86" s="87"/>
    </row>
    <row r="87" spans="1:12" ht="13.8" hidden="1" outlineLevel="1" x14ac:dyDescent="0.3">
      <c r="A87" s="24">
        <f t="shared" ca="1" si="3"/>
        <v>0.40710376291059236</v>
      </c>
      <c r="B87" s="51"/>
      <c r="C87" s="52"/>
      <c r="D87" s="82"/>
      <c r="E87" s="62"/>
      <c r="F87" s="85"/>
      <c r="G87" s="56"/>
      <c r="H87" s="57"/>
      <c r="I87" s="58"/>
      <c r="K87" s="39"/>
      <c r="L87" s="87"/>
    </row>
    <row r="88" spans="1:12" hidden="1" outlineLevel="1" x14ac:dyDescent="0.25">
      <c r="G88" s="50"/>
      <c r="H88" s="50"/>
      <c r="I88" s="77"/>
    </row>
    <row r="89" spans="1:12" hidden="1" outlineLevel="1" x14ac:dyDescent="0.25">
      <c r="D89" s="37"/>
      <c r="G89" s="50"/>
      <c r="H89" s="50"/>
      <c r="I89" s="77"/>
    </row>
    <row r="90" spans="1:12" ht="13.8" hidden="1" outlineLevel="1" x14ac:dyDescent="0.3">
      <c r="B90" s="37"/>
      <c r="C90" s="88"/>
      <c r="E90" s="75"/>
      <c r="F90" s="75"/>
      <c r="G90" s="72"/>
      <c r="H90" s="73"/>
      <c r="I90" s="67"/>
      <c r="K90" s="39"/>
      <c r="L90" s="40"/>
    </row>
    <row r="91" spans="1:12" ht="13.8" hidden="1" outlineLevel="1" x14ac:dyDescent="0.3">
      <c r="A91" s="37"/>
      <c r="B91" s="37"/>
      <c r="C91" s="89"/>
      <c r="D91" s="37"/>
      <c r="E91" s="83"/>
      <c r="F91" s="75"/>
      <c r="G91" s="66"/>
      <c r="H91" s="76"/>
      <c r="I91" s="77"/>
      <c r="K91" s="39"/>
      <c r="L91" s="78"/>
    </row>
    <row r="92" spans="1:12" hidden="1" outlineLevel="1" x14ac:dyDescent="0.25">
      <c r="A92" s="37"/>
      <c r="G92" s="50"/>
      <c r="H92" s="50"/>
      <c r="I92" s="77"/>
    </row>
    <row r="93" spans="1:12" collapsed="1" x14ac:dyDescent="0.25">
      <c r="G93" s="50"/>
      <c r="H93" s="50"/>
      <c r="I93" s="77"/>
    </row>
    <row r="94" spans="1:12" x14ac:dyDescent="0.25">
      <c r="C94" s="81"/>
      <c r="G94" s="50"/>
      <c r="H94" s="50"/>
      <c r="I94" s="77"/>
    </row>
    <row r="95" spans="1:12" x14ac:dyDescent="0.25">
      <c r="A95" s="24">
        <f t="shared" ref="A95:A126" ca="1" si="4">RAND()</f>
        <v>0.83441571521799107</v>
      </c>
      <c r="C95" s="81"/>
      <c r="G95" s="50"/>
      <c r="H95" s="50"/>
      <c r="I95" s="77"/>
    </row>
    <row r="96" spans="1:12" x14ac:dyDescent="0.25">
      <c r="A96" s="24">
        <f t="shared" ca="1" si="4"/>
        <v>0.18910178678875555</v>
      </c>
      <c r="C96" s="81"/>
      <c r="G96" s="50"/>
      <c r="H96" s="50"/>
      <c r="I96" s="77"/>
    </row>
    <row r="97" spans="1:9" x14ac:dyDescent="0.25">
      <c r="A97" s="24">
        <f t="shared" ca="1" si="4"/>
        <v>1.5163163987581108E-2</v>
      </c>
      <c r="C97" s="81"/>
      <c r="G97" s="50"/>
      <c r="H97" s="50"/>
      <c r="I97" s="77"/>
    </row>
    <row r="98" spans="1:9" x14ac:dyDescent="0.25">
      <c r="A98" s="24">
        <f t="shared" ca="1" si="4"/>
        <v>0.73935720266882765</v>
      </c>
      <c r="C98" s="81"/>
      <c r="G98" s="50"/>
      <c r="H98" s="50"/>
      <c r="I98" s="77"/>
    </row>
    <row r="99" spans="1:9" x14ac:dyDescent="0.25">
      <c r="A99" s="24">
        <f t="shared" ca="1" si="4"/>
        <v>1.4519206237135762E-3</v>
      </c>
      <c r="C99" s="81"/>
      <c r="G99" s="50"/>
      <c r="H99" s="50"/>
      <c r="I99" s="77"/>
    </row>
    <row r="100" spans="1:9" x14ac:dyDescent="0.25">
      <c r="A100" s="24">
        <f t="shared" ca="1" si="4"/>
        <v>0.92324196711796425</v>
      </c>
      <c r="C100" s="81"/>
      <c r="G100" s="50"/>
      <c r="H100" s="50"/>
      <c r="I100" s="77"/>
    </row>
    <row r="101" spans="1:9" x14ac:dyDescent="0.25">
      <c r="A101" s="24">
        <f t="shared" ca="1" si="4"/>
        <v>0.47667623477069254</v>
      </c>
      <c r="C101" s="81"/>
      <c r="G101" s="50"/>
      <c r="H101" s="50"/>
      <c r="I101" s="77"/>
    </row>
    <row r="102" spans="1:9" x14ac:dyDescent="0.25">
      <c r="A102" s="24">
        <f t="shared" ca="1" si="4"/>
        <v>0.66484727313326242</v>
      </c>
      <c r="C102" s="81"/>
      <c r="G102" s="50"/>
      <c r="H102" s="50"/>
      <c r="I102" s="77"/>
    </row>
    <row r="103" spans="1:9" x14ac:dyDescent="0.25">
      <c r="A103" s="24">
        <f t="shared" ca="1" si="4"/>
        <v>0.90286648694897831</v>
      </c>
      <c r="C103" s="81"/>
      <c r="G103" s="50"/>
      <c r="H103" s="50"/>
      <c r="I103" s="77"/>
    </row>
    <row r="104" spans="1:9" x14ac:dyDescent="0.25">
      <c r="A104" s="24">
        <f t="shared" ca="1" si="4"/>
        <v>0.16088647187372807</v>
      </c>
      <c r="C104" s="81"/>
      <c r="G104" s="50"/>
      <c r="H104" s="50"/>
      <c r="I104" s="77"/>
    </row>
    <row r="105" spans="1:9" x14ac:dyDescent="0.25">
      <c r="A105" s="24">
        <f t="shared" ca="1" si="4"/>
        <v>0.3199691621017775</v>
      </c>
      <c r="C105" s="81"/>
    </row>
    <row r="106" spans="1:9" x14ac:dyDescent="0.25">
      <c r="A106" s="24">
        <f t="shared" ca="1" si="4"/>
        <v>0.42597610376057882</v>
      </c>
      <c r="C106" s="81"/>
    </row>
    <row r="107" spans="1:9" x14ac:dyDescent="0.25">
      <c r="A107" s="24">
        <f t="shared" ca="1" si="4"/>
        <v>0.79083147080132421</v>
      </c>
      <c r="C107" s="81"/>
    </row>
    <row r="108" spans="1:9" x14ac:dyDescent="0.25">
      <c r="A108" s="24">
        <f t="shared" ca="1" si="4"/>
        <v>0.54409870737032839</v>
      </c>
      <c r="C108" s="81"/>
    </row>
    <row r="109" spans="1:9" x14ac:dyDescent="0.25">
      <c r="A109" s="24">
        <f t="shared" ca="1" si="4"/>
        <v>0.14461772655474325</v>
      </c>
    </row>
    <row r="110" spans="1:9" x14ac:dyDescent="0.25">
      <c r="A110" s="24">
        <f t="shared" ca="1" si="4"/>
        <v>0.6854048949896232</v>
      </c>
    </row>
    <row r="111" spans="1:9" x14ac:dyDescent="0.25">
      <c r="A111" s="24">
        <f t="shared" ca="1" si="4"/>
        <v>1.5290809609040945E-3</v>
      </c>
    </row>
    <row r="112" spans="1:9" x14ac:dyDescent="0.25">
      <c r="A112" s="24">
        <f t="shared" ca="1" si="4"/>
        <v>0.70129996577104514</v>
      </c>
    </row>
    <row r="113" spans="1:1" x14ac:dyDescent="0.25">
      <c r="A113" s="24">
        <f t="shared" ca="1" si="4"/>
        <v>0.53991363214399535</v>
      </c>
    </row>
    <row r="114" spans="1:1" x14ac:dyDescent="0.25">
      <c r="A114" s="24">
        <f t="shared" ca="1" si="4"/>
        <v>0.2856409677060443</v>
      </c>
    </row>
    <row r="115" spans="1:1" x14ac:dyDescent="0.25">
      <c r="A115" s="24">
        <f t="shared" ca="1" si="4"/>
        <v>0.86332138027845751</v>
      </c>
    </row>
    <row r="116" spans="1:1" x14ac:dyDescent="0.25">
      <c r="A116" s="24">
        <f t="shared" ca="1" si="4"/>
        <v>0.88433448635813094</v>
      </c>
    </row>
    <row r="117" spans="1:1" x14ac:dyDescent="0.25">
      <c r="A117" s="24">
        <f t="shared" ca="1" si="4"/>
        <v>1.5535595912607225E-2</v>
      </c>
    </row>
    <row r="118" spans="1:1" x14ac:dyDescent="0.25">
      <c r="A118" s="24">
        <f t="shared" ca="1" si="4"/>
        <v>0.96542388297039194</v>
      </c>
    </row>
    <row r="119" spans="1:1" x14ac:dyDescent="0.25">
      <c r="A119" s="24">
        <f t="shared" ca="1" si="4"/>
        <v>0.58094328037185161</v>
      </c>
    </row>
    <row r="120" spans="1:1" x14ac:dyDescent="0.25">
      <c r="A120" s="24">
        <f t="shared" ca="1" si="4"/>
        <v>0.15593904724523455</v>
      </c>
    </row>
    <row r="121" spans="1:1" x14ac:dyDescent="0.25">
      <c r="A121" s="24">
        <f t="shared" ca="1" si="4"/>
        <v>0.57434249718354402</v>
      </c>
    </row>
    <row r="122" spans="1:1" x14ac:dyDescent="0.25">
      <c r="A122" s="24">
        <f t="shared" ca="1" si="4"/>
        <v>0.44915298195503084</v>
      </c>
    </row>
    <row r="123" spans="1:1" x14ac:dyDescent="0.25">
      <c r="A123" s="24">
        <f t="shared" ca="1" si="4"/>
        <v>0.26467909313197968</v>
      </c>
    </row>
    <row r="124" spans="1:1" x14ac:dyDescent="0.25">
      <c r="A124" s="24">
        <f t="shared" ca="1" si="4"/>
        <v>0.59278349244196515</v>
      </c>
    </row>
    <row r="125" spans="1:1" x14ac:dyDescent="0.25">
      <c r="A125" s="24">
        <f t="shared" ca="1" si="4"/>
        <v>0.10871944165972702</v>
      </c>
    </row>
    <row r="126" spans="1:1" x14ac:dyDescent="0.25">
      <c r="A126" s="24">
        <f t="shared" ca="1" si="4"/>
        <v>0.9026283804927584</v>
      </c>
    </row>
  </sheetData>
  <mergeCells count="7">
    <mergeCell ref="B7:I7"/>
    <mergeCell ref="B1:I1"/>
    <mergeCell ref="B2:I2"/>
    <mergeCell ref="B3:I3"/>
    <mergeCell ref="B4:I4"/>
    <mergeCell ref="B5:I5"/>
    <mergeCell ref="B6:I6"/>
  </mergeCells>
  <printOptions horizontalCentered="1"/>
  <pageMargins left="0.21" right="0.23" top="0.2" bottom="0.78740157480314965" header="0.17" footer="0.51181102362204722"/>
  <pageSetup paperSize="9" scale="11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BM39"/>
  <sheetViews>
    <sheetView view="pageBreakPreview" zoomScaleSheetLayoutView="100" workbookViewId="0">
      <selection activeCell="AF13" sqref="AF13:AG79"/>
    </sheetView>
  </sheetViews>
  <sheetFormatPr defaultColWidth="9.109375" defaultRowHeight="13.2" outlineLevelRow="1" outlineLevelCol="1" x14ac:dyDescent="0.25"/>
  <cols>
    <col min="1" max="1" width="8.5546875" style="24" customWidth="1" outlineLevel="1"/>
    <col min="2" max="2" width="6.33203125" style="24" customWidth="1"/>
    <col min="3" max="3" width="8" style="37" customWidth="1"/>
    <col min="4" max="4" width="20.5546875" style="24" customWidth="1"/>
    <col min="5" max="5" width="9.88671875" style="24" bestFit="1" customWidth="1" outlineLevel="1"/>
    <col min="6" max="6" width="16.44140625" style="24" customWidth="1" outlineLevel="1"/>
    <col min="7" max="10" width="3.33203125" style="37" customWidth="1" outlineLevel="1"/>
    <col min="11" max="12" width="3.33203125" style="24" customWidth="1" outlineLevel="1"/>
    <col min="13" max="16" width="3.33203125" style="37" customWidth="1" outlineLevel="1"/>
    <col min="17" max="18" width="3.33203125" style="24" customWidth="1" outlineLevel="1"/>
    <col min="19" max="22" width="3.33203125" style="37" customWidth="1" outlineLevel="1"/>
    <col min="23" max="24" width="3.33203125" style="24" customWidth="1" outlineLevel="1"/>
    <col min="25" max="28" width="3.33203125" style="37" customWidth="1" outlineLevel="1"/>
    <col min="29" max="30" width="3.33203125" style="24" customWidth="1" outlineLevel="1"/>
    <col min="31" max="31" width="7.77734375" style="24" customWidth="1"/>
    <col min="32" max="33" width="5.6640625" style="38" customWidth="1"/>
    <col min="34" max="34" width="9.33203125" style="24" bestFit="1" customWidth="1" outlineLevel="1"/>
    <col min="35" max="16384" width="9.109375" style="24"/>
  </cols>
  <sheetData>
    <row r="1" spans="1:34" x14ac:dyDescent="0.25">
      <c r="B1" s="437" t="s">
        <v>80</v>
      </c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437"/>
      <c r="P1" s="437"/>
      <c r="Q1" s="437"/>
      <c r="R1" s="437"/>
      <c r="S1" s="437"/>
      <c r="T1" s="437"/>
      <c r="U1" s="437"/>
      <c r="V1" s="437"/>
      <c r="W1" s="437"/>
      <c r="X1" s="437"/>
      <c r="Y1" s="437"/>
      <c r="Z1" s="437"/>
      <c r="AA1" s="437"/>
      <c r="AB1" s="437"/>
      <c r="AC1" s="437"/>
      <c r="AD1" s="437"/>
      <c r="AE1" s="437"/>
      <c r="AH1" s="39"/>
    </row>
    <row r="2" spans="1:34" x14ac:dyDescent="0.25">
      <c r="B2" s="437" t="s">
        <v>10</v>
      </c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437"/>
      <c r="P2" s="437"/>
      <c r="Q2" s="437"/>
      <c r="R2" s="437"/>
      <c r="S2" s="437"/>
      <c r="T2" s="437"/>
      <c r="U2" s="437"/>
      <c r="V2" s="437"/>
      <c r="W2" s="437"/>
      <c r="X2" s="437"/>
      <c r="Y2" s="437"/>
      <c r="Z2" s="437"/>
      <c r="AA2" s="437"/>
      <c r="AB2" s="437"/>
      <c r="AC2" s="437"/>
      <c r="AD2" s="437"/>
      <c r="AE2" s="437"/>
      <c r="AH2" s="39"/>
    </row>
    <row r="3" spans="1:34" x14ac:dyDescent="0.25">
      <c r="B3" s="437" t="s">
        <v>169</v>
      </c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7"/>
      <c r="Q3" s="437"/>
      <c r="R3" s="437"/>
      <c r="S3" s="437"/>
      <c r="T3" s="437"/>
      <c r="U3" s="437"/>
      <c r="V3" s="437"/>
      <c r="W3" s="437"/>
      <c r="X3" s="437"/>
      <c r="Y3" s="437"/>
      <c r="Z3" s="437"/>
      <c r="AA3" s="437"/>
      <c r="AB3" s="437"/>
      <c r="AC3" s="437"/>
      <c r="AD3" s="437"/>
      <c r="AE3" s="437"/>
      <c r="AH3" s="39"/>
    </row>
    <row r="4" spans="1:34" x14ac:dyDescent="0.25">
      <c r="B4" s="432" t="s">
        <v>147</v>
      </c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432"/>
      <c r="Q4" s="432"/>
      <c r="R4" s="432"/>
      <c r="S4" s="432"/>
      <c r="T4" s="432"/>
      <c r="U4" s="432"/>
      <c r="V4" s="432"/>
      <c r="W4" s="432"/>
      <c r="X4" s="432"/>
      <c r="Y4" s="432"/>
      <c r="Z4" s="432"/>
      <c r="AA4" s="432"/>
      <c r="AB4" s="432"/>
      <c r="AC4" s="432"/>
      <c r="AD4" s="432"/>
      <c r="AE4" s="432"/>
      <c r="AH4" s="39"/>
    </row>
    <row r="5" spans="1:34" x14ac:dyDescent="0.25">
      <c r="B5" s="432" t="s">
        <v>100</v>
      </c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2"/>
      <c r="N5" s="432"/>
      <c r="O5" s="432"/>
      <c r="P5" s="432"/>
      <c r="Q5" s="432"/>
      <c r="R5" s="432"/>
      <c r="S5" s="432"/>
      <c r="T5" s="432"/>
      <c r="U5" s="432"/>
      <c r="V5" s="432"/>
      <c r="W5" s="432"/>
      <c r="X5" s="432"/>
      <c r="Y5" s="432"/>
      <c r="Z5" s="432"/>
      <c r="AA5" s="432"/>
      <c r="AB5" s="432"/>
      <c r="AC5" s="432"/>
      <c r="AD5" s="432"/>
      <c r="AE5" s="432"/>
      <c r="AH5" s="39"/>
    </row>
    <row r="6" spans="1:34" x14ac:dyDescent="0.25">
      <c r="B6" s="438" t="s">
        <v>12</v>
      </c>
      <c r="C6" s="438"/>
      <c r="D6" s="438"/>
      <c r="E6" s="438"/>
      <c r="F6" s="438"/>
      <c r="G6" s="438"/>
      <c r="H6" s="438"/>
      <c r="I6" s="438"/>
      <c r="J6" s="438"/>
      <c r="K6" s="438"/>
      <c r="L6" s="438"/>
      <c r="M6" s="438"/>
      <c r="N6" s="438"/>
      <c r="O6" s="438"/>
      <c r="P6" s="438"/>
      <c r="Q6" s="438"/>
      <c r="R6" s="438"/>
      <c r="S6" s="438"/>
      <c r="T6" s="438"/>
      <c r="U6" s="438"/>
      <c r="V6" s="438"/>
      <c r="W6" s="438"/>
      <c r="X6" s="438"/>
      <c r="Y6" s="438"/>
      <c r="Z6" s="438"/>
      <c r="AA6" s="438"/>
      <c r="AB6" s="438"/>
      <c r="AC6" s="438"/>
      <c r="AD6" s="438"/>
      <c r="AE6" s="438"/>
      <c r="AH6" s="39"/>
    </row>
    <row r="7" spans="1:34" ht="15.6" x14ac:dyDescent="0.3">
      <c r="B7" s="433" t="s">
        <v>105</v>
      </c>
      <c r="C7" s="433"/>
      <c r="D7" s="433"/>
      <c r="E7" s="433"/>
      <c r="F7" s="433"/>
      <c r="G7" s="433"/>
      <c r="H7" s="433"/>
      <c r="I7" s="433"/>
      <c r="J7" s="433"/>
      <c r="K7" s="433"/>
      <c r="L7" s="433"/>
      <c r="M7" s="433"/>
      <c r="N7" s="433"/>
      <c r="O7" s="433"/>
      <c r="P7" s="433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433"/>
      <c r="AE7" s="433"/>
      <c r="AH7" s="39"/>
    </row>
    <row r="8" spans="1:34" ht="15.6" hidden="1" x14ac:dyDescent="0.3">
      <c r="C8" s="45"/>
      <c r="D8" s="37"/>
      <c r="G8" s="90"/>
      <c r="J8" s="441"/>
      <c r="K8" s="440"/>
      <c r="AH8" s="39"/>
    </row>
    <row r="9" spans="1:34" ht="13.2" hidden="1" customHeight="1" x14ac:dyDescent="0.25">
      <c r="C9" s="42"/>
      <c r="D9" s="21"/>
      <c r="G9" s="90"/>
      <c r="J9" s="41"/>
      <c r="L9" s="36"/>
      <c r="M9" s="91"/>
      <c r="N9" s="91"/>
      <c r="O9" s="91"/>
      <c r="P9" s="91"/>
      <c r="Q9" s="36"/>
      <c r="R9" s="36"/>
      <c r="S9" s="91"/>
      <c r="T9" s="91"/>
      <c r="U9" s="91"/>
      <c r="V9" s="91"/>
      <c r="W9" s="36"/>
      <c r="X9" s="36"/>
      <c r="Y9" s="91"/>
      <c r="Z9" s="91"/>
      <c r="AA9" s="91"/>
      <c r="AB9" s="91"/>
      <c r="AC9" s="36"/>
      <c r="AD9" s="36"/>
      <c r="AE9" s="36"/>
      <c r="AH9" s="43"/>
    </row>
    <row r="10" spans="1:34" ht="13.2" hidden="1" customHeight="1" outlineLevel="1" x14ac:dyDescent="0.3">
      <c r="C10" s="44"/>
      <c r="D10" s="37"/>
      <c r="E10" s="37"/>
      <c r="F10" s="45"/>
      <c r="H10" s="24"/>
      <c r="AE10" s="92"/>
      <c r="AH10" s="43"/>
    </row>
    <row r="11" spans="1:34" ht="13.2" customHeight="1" collapsed="1" x14ac:dyDescent="0.3">
      <c r="B11" s="179" t="s">
        <v>241</v>
      </c>
      <c r="C11" s="179"/>
      <c r="D11" s="37"/>
      <c r="E11" s="37"/>
      <c r="G11" s="45"/>
      <c r="H11" s="24"/>
      <c r="I11" s="24"/>
      <c r="AC11" s="42"/>
      <c r="AD11" s="180" t="s">
        <v>102</v>
      </c>
      <c r="AE11" s="439">
        <v>0.44791666666666669</v>
      </c>
      <c r="AF11" s="440"/>
      <c r="AH11" s="43"/>
    </row>
    <row r="12" spans="1:34" ht="13.2" hidden="1" customHeight="1" outlineLevel="1" x14ac:dyDescent="0.3">
      <c r="B12" s="182" t="s">
        <v>11</v>
      </c>
      <c r="C12" s="182" t="s">
        <v>11</v>
      </c>
      <c r="D12" s="37"/>
      <c r="E12" s="37"/>
      <c r="G12" s="45"/>
      <c r="H12" s="24"/>
      <c r="I12" s="24"/>
      <c r="AC12" s="42"/>
      <c r="AD12" s="89"/>
      <c r="AH12" s="39"/>
    </row>
    <row r="13" spans="1:34" ht="13.2" customHeight="1" collapsed="1" thickBot="1" x14ac:dyDescent="0.35">
      <c r="B13" s="183" t="s">
        <v>98</v>
      </c>
      <c r="C13" s="183"/>
      <c r="D13" s="37"/>
      <c r="E13" s="37"/>
      <c r="G13" s="45"/>
      <c r="H13" s="24"/>
      <c r="I13" s="24"/>
      <c r="AC13" s="42"/>
      <c r="AD13" s="180" t="s">
        <v>103</v>
      </c>
      <c r="AE13" s="184"/>
      <c r="AH13" s="39"/>
    </row>
    <row r="14" spans="1:34" s="98" customFormat="1" ht="20.399999999999999" customHeight="1" thickBot="1" x14ac:dyDescent="0.25">
      <c r="A14" s="93"/>
      <c r="B14" s="203" t="s">
        <v>117</v>
      </c>
      <c r="C14" s="193" t="s">
        <v>113</v>
      </c>
      <c r="D14" s="193" t="s">
        <v>114</v>
      </c>
      <c r="E14" s="193" t="s">
        <v>115</v>
      </c>
      <c r="F14" s="202" t="s">
        <v>116</v>
      </c>
      <c r="G14" s="94"/>
      <c r="H14" s="94"/>
      <c r="I14" s="95"/>
      <c r="J14" s="94"/>
      <c r="K14" s="94"/>
      <c r="L14" s="95"/>
      <c r="M14" s="94"/>
      <c r="N14" s="94"/>
      <c r="O14" s="95"/>
      <c r="P14" s="94"/>
      <c r="Q14" s="94"/>
      <c r="R14" s="95"/>
      <c r="S14" s="94"/>
      <c r="T14" s="94"/>
      <c r="U14" s="95"/>
      <c r="V14" s="94"/>
      <c r="W14" s="94"/>
      <c r="X14" s="95"/>
      <c r="Y14" s="94"/>
      <c r="Z14" s="94"/>
      <c r="AA14" s="95"/>
      <c r="AB14" s="94"/>
      <c r="AC14" s="94"/>
      <c r="AD14" s="95"/>
      <c r="AE14" s="201" t="s">
        <v>18</v>
      </c>
      <c r="AF14" s="200"/>
      <c r="AG14" s="96"/>
      <c r="AH14" s="97"/>
    </row>
    <row r="15" spans="1:34" s="48" customFormat="1" ht="13.2" hidden="1" customHeight="1" x14ac:dyDescent="0.25">
      <c r="F15" s="99"/>
      <c r="I15" s="99"/>
      <c r="L15" s="99"/>
      <c r="O15" s="99"/>
      <c r="R15" s="99"/>
      <c r="U15" s="99"/>
      <c r="X15" s="99"/>
      <c r="AA15" s="99"/>
      <c r="AD15" s="100"/>
      <c r="AF15" s="49"/>
      <c r="AG15" s="49"/>
      <c r="AH15" s="43"/>
    </row>
    <row r="16" spans="1:34" s="48" customFormat="1" ht="13.2" hidden="1" customHeight="1" x14ac:dyDescent="0.25">
      <c r="D16" s="48" t="s">
        <v>67</v>
      </c>
      <c r="F16" s="101"/>
      <c r="I16" s="99"/>
      <c r="L16" s="99"/>
      <c r="O16" s="99"/>
      <c r="R16" s="99"/>
      <c r="U16" s="99"/>
      <c r="X16" s="99"/>
      <c r="AA16" s="99"/>
      <c r="AD16" s="101"/>
      <c r="AF16" s="49"/>
      <c r="AG16" s="49"/>
      <c r="AH16" s="43"/>
    </row>
    <row r="17" spans="1:65" s="48" customFormat="1" ht="15" customHeight="1" x14ac:dyDescent="0.25">
      <c r="A17" s="24"/>
      <c r="B17" s="51">
        <v>1</v>
      </c>
      <c r="C17" s="52">
        <v>65</v>
      </c>
      <c r="D17" s="61" t="s">
        <v>219</v>
      </c>
      <c r="E17" s="62" t="s">
        <v>220</v>
      </c>
      <c r="F17" s="63" t="s">
        <v>215</v>
      </c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295">
        <v>1.65</v>
      </c>
      <c r="AF17" s="108"/>
      <c r="AG17" s="49"/>
      <c r="AH17" s="109"/>
      <c r="AI17" s="37"/>
      <c r="AJ17" s="24"/>
      <c r="AK17" s="24"/>
      <c r="AL17" s="425"/>
      <c r="AM17" s="425"/>
      <c r="AN17" s="425"/>
      <c r="AO17" s="425"/>
      <c r="AP17" s="425"/>
      <c r="AQ17" s="425"/>
      <c r="AR17" s="425"/>
      <c r="AS17" s="425"/>
      <c r="AT17" s="425"/>
      <c r="AU17" s="424"/>
      <c r="AV17" s="424"/>
      <c r="AW17" s="424"/>
      <c r="AX17" s="424"/>
      <c r="AY17" s="424"/>
      <c r="AZ17" s="424"/>
      <c r="BA17" s="424"/>
      <c r="BB17" s="424"/>
      <c r="BC17" s="424"/>
      <c r="BD17" s="424"/>
      <c r="BE17" s="424"/>
      <c r="BF17" s="424"/>
      <c r="BG17" s="424"/>
      <c r="BH17" s="424"/>
      <c r="BI17" s="424"/>
      <c r="BJ17" s="424"/>
      <c r="BK17" s="424"/>
      <c r="BL17" s="424"/>
      <c r="BM17" s="424"/>
    </row>
    <row r="18" spans="1:65" ht="15" customHeight="1" x14ac:dyDescent="0.25">
      <c r="B18" s="51">
        <v>2</v>
      </c>
      <c r="C18" s="52">
        <v>55</v>
      </c>
      <c r="D18" s="61" t="s">
        <v>194</v>
      </c>
      <c r="E18" s="62" t="s">
        <v>195</v>
      </c>
      <c r="F18" s="63" t="s">
        <v>197</v>
      </c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295">
        <v>1.56</v>
      </c>
      <c r="AF18" s="108"/>
      <c r="AG18" s="49"/>
      <c r="AH18" s="109"/>
      <c r="AI18" s="37"/>
      <c r="AU18" s="425"/>
      <c r="AV18" s="425"/>
      <c r="AW18" s="425"/>
      <c r="AX18" s="425"/>
      <c r="AY18" s="425"/>
      <c r="AZ18" s="425"/>
      <c r="BA18" s="425"/>
      <c r="BB18" s="425"/>
      <c r="BC18" s="425"/>
      <c r="BD18" s="425"/>
      <c r="BE18" s="425"/>
      <c r="BF18" s="425"/>
      <c r="BG18" s="425"/>
      <c r="BH18" s="425"/>
      <c r="BI18" s="425"/>
      <c r="BJ18" s="425"/>
      <c r="BK18" s="425"/>
      <c r="BL18" s="425"/>
      <c r="BM18" s="425"/>
    </row>
    <row r="19" spans="1:65" ht="15" customHeight="1" x14ac:dyDescent="0.25">
      <c r="B19" s="51">
        <v>3</v>
      </c>
      <c r="C19" s="52">
        <v>64</v>
      </c>
      <c r="D19" s="61" t="s">
        <v>213</v>
      </c>
      <c r="E19" s="62" t="s">
        <v>214</v>
      </c>
      <c r="F19" s="63" t="s">
        <v>215</v>
      </c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295">
        <v>1.86</v>
      </c>
      <c r="AF19" s="108"/>
      <c r="AG19" s="49"/>
      <c r="AH19" s="109"/>
      <c r="AI19" s="423"/>
    </row>
    <row r="20" spans="1:65" ht="15" customHeight="1" x14ac:dyDescent="0.25">
      <c r="B20" s="51">
        <v>4</v>
      </c>
      <c r="C20" s="52">
        <v>9</v>
      </c>
      <c r="D20" s="61" t="s">
        <v>142</v>
      </c>
      <c r="E20" s="62" t="s">
        <v>143</v>
      </c>
      <c r="F20" s="63" t="s">
        <v>175</v>
      </c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295">
        <v>1.65</v>
      </c>
      <c r="AF20" s="108"/>
      <c r="AG20" s="49"/>
      <c r="AH20" s="109"/>
      <c r="AI20" s="37"/>
      <c r="AJ20" s="423"/>
      <c r="AK20" s="423"/>
      <c r="AU20" s="425"/>
      <c r="AV20" s="425"/>
      <c r="AW20" s="425"/>
      <c r="AX20" s="425"/>
      <c r="AY20" s="425"/>
      <c r="AZ20" s="425"/>
      <c r="BA20" s="425"/>
      <c r="BB20" s="425"/>
      <c r="BC20" s="425"/>
      <c r="BD20" s="425"/>
      <c r="BE20" s="425"/>
      <c r="BF20" s="425"/>
      <c r="BG20" s="425"/>
      <c r="BH20" s="425"/>
      <c r="BI20" s="425"/>
      <c r="BJ20" s="425"/>
      <c r="BK20" s="425"/>
      <c r="BL20" s="425"/>
      <c r="BM20" s="425"/>
    </row>
    <row r="21" spans="1:65" ht="15" customHeight="1" x14ac:dyDescent="0.25">
      <c r="B21" s="51">
        <v>5</v>
      </c>
      <c r="C21" s="52">
        <v>8</v>
      </c>
      <c r="D21" s="61" t="s">
        <v>133</v>
      </c>
      <c r="E21" s="62" t="s">
        <v>130</v>
      </c>
      <c r="F21" s="63" t="s">
        <v>192</v>
      </c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295">
        <v>1.62</v>
      </c>
      <c r="AF21" s="108"/>
      <c r="AG21" s="49"/>
      <c r="AH21" s="109"/>
      <c r="AI21" s="423"/>
    </row>
    <row r="22" spans="1:65" ht="15" customHeight="1" x14ac:dyDescent="0.25">
      <c r="B22" s="51">
        <v>6</v>
      </c>
      <c r="C22" s="52">
        <v>66</v>
      </c>
      <c r="D22" s="61" t="s">
        <v>217</v>
      </c>
      <c r="E22" s="62" t="s">
        <v>132</v>
      </c>
      <c r="F22" s="63" t="s">
        <v>215</v>
      </c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295">
        <v>1.71</v>
      </c>
      <c r="AF22" s="108"/>
      <c r="AG22" s="49"/>
      <c r="AH22" s="109"/>
      <c r="AI22" s="37"/>
    </row>
    <row r="23" spans="1:65" ht="15" customHeight="1" x14ac:dyDescent="0.25">
      <c r="B23" s="51">
        <v>7</v>
      </c>
      <c r="C23" s="52">
        <v>56</v>
      </c>
      <c r="D23" s="61" t="s">
        <v>209</v>
      </c>
      <c r="E23" s="62" t="s">
        <v>210</v>
      </c>
      <c r="F23" s="63" t="s">
        <v>197</v>
      </c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295">
        <v>1.74</v>
      </c>
      <c r="AF23" s="108"/>
      <c r="AG23" s="49"/>
      <c r="AH23" s="109"/>
      <c r="AI23" s="37"/>
    </row>
    <row r="24" spans="1:65" s="48" customFormat="1" ht="15" customHeight="1" x14ac:dyDescent="0.25">
      <c r="A24" s="24"/>
      <c r="B24" s="51">
        <v>8</v>
      </c>
      <c r="C24" s="52">
        <v>117</v>
      </c>
      <c r="D24" s="61" t="s">
        <v>229</v>
      </c>
      <c r="E24" s="62" t="s">
        <v>230</v>
      </c>
      <c r="F24" s="63" t="s">
        <v>232</v>
      </c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295">
        <v>1.71</v>
      </c>
      <c r="AF24" s="108"/>
      <c r="AG24" s="49"/>
      <c r="AH24" s="109"/>
      <c r="AI24" s="425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</row>
    <row r="25" spans="1:65" ht="15" customHeight="1" x14ac:dyDescent="0.25">
      <c r="B25" s="51">
        <v>9</v>
      </c>
      <c r="C25" s="52">
        <v>54</v>
      </c>
      <c r="D25" s="61" t="s">
        <v>200</v>
      </c>
      <c r="E25" s="62" t="s">
        <v>201</v>
      </c>
      <c r="F25" s="63" t="s">
        <v>197</v>
      </c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295">
        <v>1.68</v>
      </c>
      <c r="AF25" s="108"/>
      <c r="AG25" s="49"/>
      <c r="AH25" s="109"/>
      <c r="AI25" s="37" t="s">
        <v>95</v>
      </c>
      <c r="AL25" s="424"/>
      <c r="AM25" s="424"/>
      <c r="AN25" s="424"/>
      <c r="AO25" s="424"/>
      <c r="AP25" s="424"/>
      <c r="AQ25" s="424"/>
      <c r="AR25" s="424"/>
      <c r="AS25" s="424"/>
      <c r="AT25" s="424"/>
    </row>
    <row r="26" spans="1:65" ht="15" customHeight="1" x14ac:dyDescent="0.25">
      <c r="B26" s="51">
        <v>10</v>
      </c>
      <c r="C26" s="52">
        <v>25</v>
      </c>
      <c r="D26" s="61" t="s">
        <v>179</v>
      </c>
      <c r="E26" s="62" t="s">
        <v>180</v>
      </c>
      <c r="F26" s="63" t="s">
        <v>182</v>
      </c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295">
        <v>1.72</v>
      </c>
      <c r="AF26" s="108"/>
      <c r="AG26" s="49"/>
      <c r="AH26" s="109"/>
      <c r="AI26" s="37"/>
      <c r="AJ26" s="425"/>
      <c r="AK26" s="425"/>
    </row>
    <row r="27" spans="1:65" ht="15" customHeight="1" x14ac:dyDescent="0.25">
      <c r="B27" s="51">
        <v>11</v>
      </c>
      <c r="C27" s="52">
        <v>61</v>
      </c>
      <c r="D27" s="61" t="s">
        <v>205</v>
      </c>
      <c r="E27" s="62" t="s">
        <v>206</v>
      </c>
      <c r="F27" s="63" t="s">
        <v>197</v>
      </c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429">
        <v>0</v>
      </c>
      <c r="AF27" s="108"/>
      <c r="AG27" s="49"/>
      <c r="AH27" s="342"/>
      <c r="AI27" s="340"/>
      <c r="AU27" s="424"/>
      <c r="AV27" s="424"/>
      <c r="AW27" s="424"/>
      <c r="AX27" s="424"/>
      <c r="AY27" s="424"/>
      <c r="AZ27" s="424"/>
      <c r="BA27" s="424"/>
      <c r="BB27" s="424"/>
      <c r="BC27" s="424"/>
      <c r="BD27" s="424"/>
      <c r="BE27" s="424"/>
      <c r="BF27" s="424"/>
      <c r="BG27" s="424"/>
      <c r="BH27" s="424"/>
      <c r="BI27" s="424"/>
      <c r="BJ27" s="424"/>
      <c r="BK27" s="424"/>
      <c r="BL27" s="424"/>
      <c r="BM27" s="424"/>
    </row>
    <row r="28" spans="1:65" ht="15" customHeight="1" x14ac:dyDescent="0.25">
      <c r="B28" s="51">
        <v>12</v>
      </c>
      <c r="C28" s="52">
        <v>69</v>
      </c>
      <c r="D28" s="61" t="s">
        <v>223</v>
      </c>
      <c r="E28" s="62" t="s">
        <v>224</v>
      </c>
      <c r="F28" s="63" t="s">
        <v>226</v>
      </c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295">
        <v>0</v>
      </c>
      <c r="AF28" s="108"/>
      <c r="AG28" s="49"/>
      <c r="AH28" s="109"/>
      <c r="AI28" s="37" t="s">
        <v>155</v>
      </c>
    </row>
    <row r="29" spans="1:65" ht="15" customHeight="1" x14ac:dyDescent="0.25">
      <c r="B29" s="51">
        <v>13</v>
      </c>
      <c r="C29" s="52">
        <v>12</v>
      </c>
      <c r="D29" s="61" t="s">
        <v>134</v>
      </c>
      <c r="E29" s="62" t="s">
        <v>131</v>
      </c>
      <c r="F29" s="63" t="s">
        <v>177</v>
      </c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295">
        <v>1.62</v>
      </c>
      <c r="AF29" s="108"/>
      <c r="AG29" s="49"/>
      <c r="AH29" s="109"/>
      <c r="AI29" s="37"/>
    </row>
    <row r="30" spans="1:65" ht="15" customHeight="1" x14ac:dyDescent="0.25">
      <c r="B30" s="51">
        <v>14</v>
      </c>
      <c r="C30" s="52">
        <v>109</v>
      </c>
      <c r="D30" s="61" t="s">
        <v>235</v>
      </c>
      <c r="E30" s="62" t="s">
        <v>236</v>
      </c>
      <c r="F30" s="63" t="s">
        <v>238</v>
      </c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295">
        <v>1.8</v>
      </c>
      <c r="AF30" s="108"/>
      <c r="AG30" s="49"/>
      <c r="AH30" s="109"/>
      <c r="AI30" s="37"/>
    </row>
    <row r="31" spans="1:65" s="425" customFormat="1" ht="15" customHeight="1" x14ac:dyDescent="0.25">
      <c r="B31" s="51">
        <v>15</v>
      </c>
      <c r="C31" s="52">
        <v>10</v>
      </c>
      <c r="D31" s="61" t="s">
        <v>140</v>
      </c>
      <c r="E31" s="62" t="s">
        <v>141</v>
      </c>
      <c r="F31" s="63" t="s">
        <v>170</v>
      </c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295">
        <v>1.65</v>
      </c>
      <c r="AF31" s="108"/>
      <c r="AG31" s="49"/>
      <c r="AH31" s="109"/>
      <c r="AI31" s="423"/>
    </row>
    <row r="32" spans="1:65" ht="15" customHeight="1" x14ac:dyDescent="0.25">
      <c r="B32" s="51">
        <v>16</v>
      </c>
      <c r="C32" s="52">
        <v>23</v>
      </c>
      <c r="D32" s="61" t="s">
        <v>185</v>
      </c>
      <c r="E32" s="62" t="s">
        <v>186</v>
      </c>
      <c r="F32" s="63" t="s">
        <v>188</v>
      </c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295">
        <v>1.71</v>
      </c>
      <c r="AF32" s="108"/>
      <c r="AG32" s="49"/>
      <c r="AH32" s="109"/>
      <c r="AI32" s="425"/>
    </row>
    <row r="33" spans="1:46" s="48" customFormat="1" x14ac:dyDescent="0.25">
      <c r="A33" s="24"/>
      <c r="B33" s="315"/>
      <c r="C33" s="315"/>
      <c r="D33" s="316"/>
      <c r="E33" s="317"/>
      <c r="F33" s="318"/>
      <c r="G33" s="319"/>
      <c r="H33" s="319"/>
      <c r="I33" s="319"/>
      <c r="J33" s="319"/>
      <c r="K33" s="319"/>
      <c r="L33" s="319"/>
      <c r="M33" s="319"/>
      <c r="N33" s="319"/>
      <c r="O33" s="319"/>
      <c r="P33" s="319"/>
      <c r="Q33" s="319"/>
      <c r="R33" s="319"/>
      <c r="S33" s="319"/>
      <c r="T33" s="319"/>
      <c r="U33" s="319"/>
      <c r="V33" s="319"/>
      <c r="W33" s="319"/>
      <c r="X33" s="319"/>
      <c r="Y33" s="319"/>
      <c r="Z33" s="319"/>
      <c r="AA33" s="319"/>
      <c r="AB33" s="319"/>
      <c r="AC33" s="319"/>
      <c r="AD33" s="319"/>
      <c r="AE33" s="320"/>
      <c r="AF33" s="110"/>
      <c r="AG33" s="49"/>
      <c r="AH33" s="109"/>
      <c r="AI33" s="37"/>
      <c r="AJ33" s="37"/>
      <c r="AK33" s="37"/>
      <c r="AL33" s="24"/>
      <c r="AM33" s="24"/>
      <c r="AN33" s="24"/>
      <c r="AO33" s="24"/>
      <c r="AP33" s="24"/>
      <c r="AQ33" s="24"/>
      <c r="AR33" s="24"/>
      <c r="AS33" s="24"/>
      <c r="AT33" s="24"/>
    </row>
    <row r="34" spans="1:46" ht="16.05" customHeight="1" x14ac:dyDescent="0.25">
      <c r="B34" s="294" t="s">
        <v>148</v>
      </c>
      <c r="C34" s="315"/>
      <c r="D34" s="316"/>
      <c r="E34" s="317"/>
      <c r="F34" s="318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19"/>
      <c r="R34" s="319"/>
      <c r="S34" s="319"/>
      <c r="T34" s="319"/>
      <c r="U34" s="319"/>
      <c r="V34" s="319"/>
      <c r="W34" s="319"/>
      <c r="X34" s="319"/>
      <c r="Y34" s="319"/>
      <c r="Z34" s="319"/>
      <c r="AA34" s="319"/>
      <c r="AB34" s="319"/>
      <c r="AC34" s="319"/>
      <c r="AD34" s="319"/>
      <c r="AE34" s="320"/>
      <c r="AF34" s="110"/>
      <c r="AG34" s="49"/>
      <c r="AH34" s="109"/>
      <c r="AI34" s="37"/>
    </row>
    <row r="35" spans="1:46" ht="16.05" customHeight="1" x14ac:dyDescent="0.25">
      <c r="B35" s="294" t="s">
        <v>151</v>
      </c>
      <c r="C35" s="315"/>
      <c r="D35" s="316"/>
      <c r="E35" s="317"/>
      <c r="F35" s="318"/>
      <c r="G35" s="319"/>
      <c r="H35" s="319"/>
      <c r="I35" s="319"/>
      <c r="J35" s="319"/>
      <c r="K35" s="319"/>
      <c r="L35" s="319"/>
      <c r="M35" s="319"/>
      <c r="N35" s="319"/>
      <c r="O35" s="319"/>
      <c r="P35" s="319"/>
      <c r="Q35" s="319"/>
      <c r="R35" s="319"/>
      <c r="S35" s="319"/>
      <c r="T35" s="319"/>
      <c r="U35" s="319"/>
      <c r="V35" s="319"/>
      <c r="W35" s="319"/>
      <c r="X35" s="319"/>
      <c r="Y35" s="319"/>
      <c r="Z35" s="319"/>
      <c r="AA35" s="319"/>
      <c r="AB35" s="319"/>
      <c r="AC35" s="319"/>
      <c r="AD35" s="319"/>
      <c r="AE35" s="320"/>
      <c r="AF35" s="110"/>
      <c r="AG35" s="49"/>
      <c r="AH35" s="109"/>
      <c r="AI35" s="37"/>
      <c r="AL35" s="48"/>
      <c r="AM35" s="48"/>
      <c r="AN35" s="48"/>
      <c r="AO35" s="48"/>
      <c r="AP35" s="48"/>
      <c r="AQ35" s="48"/>
      <c r="AR35" s="48"/>
      <c r="AS35" s="48"/>
      <c r="AT35" s="48"/>
    </row>
    <row r="36" spans="1:46" ht="16.05" customHeight="1" outlineLevel="1" x14ac:dyDescent="0.25">
      <c r="B36" s="294" t="s">
        <v>152</v>
      </c>
      <c r="C36" s="315"/>
      <c r="D36" s="316"/>
      <c r="E36" s="317"/>
      <c r="F36" s="318"/>
      <c r="G36" s="319"/>
      <c r="H36" s="319"/>
      <c r="I36" s="319"/>
      <c r="J36" s="319"/>
      <c r="K36" s="319"/>
      <c r="L36" s="319"/>
      <c r="M36" s="319"/>
      <c r="N36" s="319"/>
      <c r="O36" s="319"/>
      <c r="P36" s="319"/>
      <c r="Q36" s="319"/>
      <c r="R36" s="319"/>
      <c r="S36" s="319"/>
      <c r="T36" s="319"/>
      <c r="U36" s="319"/>
      <c r="V36" s="319"/>
      <c r="W36" s="319"/>
      <c r="X36" s="319"/>
      <c r="Y36" s="319"/>
      <c r="Z36" s="319"/>
      <c r="AA36" s="319"/>
      <c r="AB36" s="319"/>
      <c r="AC36" s="319"/>
      <c r="AD36" s="319"/>
      <c r="AE36" s="320"/>
      <c r="AF36" s="110"/>
      <c r="AG36" s="49"/>
      <c r="AH36" s="109"/>
      <c r="AI36" s="37"/>
      <c r="AL36" s="48"/>
      <c r="AM36" s="48"/>
      <c r="AN36" s="48"/>
      <c r="AO36" s="48"/>
      <c r="AP36" s="48"/>
      <c r="AQ36" s="48"/>
      <c r="AR36" s="48"/>
      <c r="AS36" s="48"/>
      <c r="AT36" s="48"/>
    </row>
    <row r="37" spans="1:46" x14ac:dyDescent="0.25">
      <c r="B37" s="166">
        <v>21</v>
      </c>
      <c r="C37" s="166">
        <v>1308</v>
      </c>
      <c r="D37" s="307" t="e">
        <f>VLOOKUP(C37,Уч!$A$2:$K$25,2,FALSE)</f>
        <v>#N/A</v>
      </c>
      <c r="E37" s="308" t="e">
        <f>VLOOKUP(C37,Уч!$A$2:$K$25,3,FALSE)</f>
        <v>#N/A</v>
      </c>
      <c r="F37" s="309" t="e">
        <f>VLOOKUP(C37,Уч!$A$2:$K$25,5,FALSE)</f>
        <v>#N/A</v>
      </c>
      <c r="G37" s="310"/>
      <c r="H37" s="311"/>
      <c r="I37" s="312"/>
      <c r="J37" s="310"/>
      <c r="K37" s="311"/>
      <c r="L37" s="312"/>
      <c r="M37" s="310"/>
      <c r="N37" s="311"/>
      <c r="O37" s="312"/>
      <c r="P37" s="310"/>
      <c r="Q37" s="311"/>
      <c r="R37" s="312"/>
      <c r="S37" s="310"/>
      <c r="T37" s="311"/>
      <c r="U37" s="312"/>
      <c r="V37" s="310"/>
      <c r="W37" s="311"/>
      <c r="X37" s="312"/>
      <c r="Y37" s="310"/>
      <c r="Z37" s="311"/>
      <c r="AA37" s="312"/>
      <c r="AB37" s="310"/>
      <c r="AC37" s="311"/>
      <c r="AD37" s="313"/>
      <c r="AE37" s="314">
        <f t="shared" ref="AE37:AE39" si="0">AH37/100</f>
        <v>0</v>
      </c>
      <c r="AF37" s="110"/>
      <c r="AG37" s="49"/>
      <c r="AH37" s="109"/>
      <c r="AI37" s="37"/>
    </row>
    <row r="38" spans="1:46" x14ac:dyDescent="0.25">
      <c r="B38" s="51">
        <v>22</v>
      </c>
      <c r="C38" s="52">
        <v>1351</v>
      </c>
      <c r="D38" s="61" t="e">
        <f>VLOOKUP(C38,Уч!$A$2:$K$25,2,FALSE)</f>
        <v>#N/A</v>
      </c>
      <c r="E38" s="62" t="e">
        <f>VLOOKUP(C38,Уч!$A$2:$K$25,3,FALSE)</f>
        <v>#N/A</v>
      </c>
      <c r="F38" s="103" t="e">
        <f>VLOOKUP(C38,Уч!$A$2:$K$25,5,FALSE)</f>
        <v>#N/A</v>
      </c>
      <c r="G38" s="104"/>
      <c r="H38" s="105"/>
      <c r="I38" s="106"/>
      <c r="J38" s="104"/>
      <c r="K38" s="105"/>
      <c r="L38" s="106"/>
      <c r="M38" s="104"/>
      <c r="N38" s="105"/>
      <c r="O38" s="106"/>
      <c r="P38" s="104"/>
      <c r="Q38" s="105"/>
      <c r="R38" s="106"/>
      <c r="S38" s="104"/>
      <c r="T38" s="105"/>
      <c r="U38" s="106"/>
      <c r="V38" s="104"/>
      <c r="W38" s="105"/>
      <c r="X38" s="106"/>
      <c r="Y38" s="104"/>
      <c r="Z38" s="105"/>
      <c r="AA38" s="106"/>
      <c r="AB38" s="104"/>
      <c r="AC38" s="105"/>
      <c r="AD38" s="107"/>
      <c r="AE38" s="56">
        <f t="shared" si="0"/>
        <v>0</v>
      </c>
      <c r="AF38" s="110"/>
      <c r="AG38" s="49"/>
      <c r="AH38" s="109"/>
      <c r="AI38" s="37"/>
    </row>
    <row r="39" spans="1:46" x14ac:dyDescent="0.25">
      <c r="B39" s="51">
        <v>23</v>
      </c>
      <c r="C39" s="37">
        <v>1361</v>
      </c>
      <c r="D39" s="61" t="e">
        <f>VLOOKUP(C39,Уч!$A$2:$K$25,2,FALSE)</f>
        <v>#N/A</v>
      </c>
      <c r="E39" s="62" t="e">
        <f>VLOOKUP(C39,Уч!$A$2:$K$25,3,FALSE)</f>
        <v>#N/A</v>
      </c>
      <c r="F39" s="103" t="e">
        <f>VLOOKUP(C39,Уч!$A$2:$K$25,5,FALSE)</f>
        <v>#N/A</v>
      </c>
      <c r="G39" s="104"/>
      <c r="H39" s="105"/>
      <c r="I39" s="106"/>
      <c r="J39" s="104"/>
      <c r="K39" s="105"/>
      <c r="L39" s="106"/>
      <c r="M39" s="104"/>
      <c r="N39" s="105"/>
      <c r="O39" s="106"/>
      <c r="P39" s="104"/>
      <c r="Q39" s="105"/>
      <c r="R39" s="106"/>
      <c r="S39" s="104"/>
      <c r="T39" s="105"/>
      <c r="U39" s="106"/>
      <c r="V39" s="104"/>
      <c r="W39" s="105"/>
      <c r="X39" s="106"/>
      <c r="Y39" s="104"/>
      <c r="Z39" s="105"/>
      <c r="AA39" s="106"/>
      <c r="AB39" s="104"/>
      <c r="AC39" s="105"/>
      <c r="AD39" s="107"/>
      <c r="AE39" s="56">
        <f t="shared" si="0"/>
        <v>0</v>
      </c>
      <c r="AF39" s="110"/>
      <c r="AG39" s="49"/>
      <c r="AH39" s="109"/>
    </row>
  </sheetData>
  <sortState ref="A17:BM32">
    <sortCondition ref="A17:A32"/>
  </sortState>
  <mergeCells count="9">
    <mergeCell ref="AE11:AF11"/>
    <mergeCell ref="J8:K8"/>
    <mergeCell ref="B1:AE1"/>
    <mergeCell ref="B2:AE2"/>
    <mergeCell ref="B3:AE3"/>
    <mergeCell ref="B4:AE4"/>
    <mergeCell ref="B5:AE5"/>
    <mergeCell ref="B6:AE6"/>
    <mergeCell ref="B7:AE7"/>
  </mergeCells>
  <phoneticPr fontId="0" type="noConversion"/>
  <printOptions horizontalCentered="1"/>
  <pageMargins left="0.17" right="0.17" top="0.28000000000000003" bottom="0.24" header="0.23" footer="0.17"/>
  <pageSetup paperSize="9" scale="99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AG39"/>
  <sheetViews>
    <sheetView tabSelected="1" view="pageBreakPreview" zoomScaleSheetLayoutView="100" workbookViewId="0">
      <selection activeCell="A11" sqref="A11"/>
    </sheetView>
  </sheetViews>
  <sheetFormatPr defaultColWidth="9.109375" defaultRowHeight="13.2" outlineLevelRow="1" outlineLevelCol="1" x14ac:dyDescent="0.25"/>
  <cols>
    <col min="1" max="1" width="10" style="24" customWidth="1" outlineLevel="1"/>
    <col min="2" max="2" width="6.33203125" style="24" customWidth="1"/>
    <col min="3" max="3" width="8" style="37" customWidth="1"/>
    <col min="4" max="4" width="20.5546875" style="24" customWidth="1"/>
    <col min="5" max="5" width="11" style="37" customWidth="1"/>
    <col min="6" max="6" width="19.33203125" style="24" customWidth="1"/>
    <col min="7" max="8" width="10.6640625" style="37" customWidth="1" outlineLevel="1"/>
    <col min="9" max="9" width="10.6640625" style="24" customWidth="1" outlineLevel="1"/>
    <col min="10" max="10" width="10.5546875" style="24" bestFit="1" customWidth="1"/>
    <col min="11" max="11" width="7.5546875" style="38" customWidth="1"/>
    <col min="12" max="12" width="5.6640625" style="38" customWidth="1"/>
    <col min="13" max="15" width="5" style="122" bestFit="1" customWidth="1" outlineLevel="1"/>
    <col min="16" max="16" width="8" style="24" bestFit="1" customWidth="1" outlineLevel="1"/>
    <col min="17" max="16384" width="9.109375" style="24"/>
  </cols>
  <sheetData>
    <row r="1" spans="1:16" ht="13.2" customHeight="1" x14ac:dyDescent="0.25">
      <c r="B1" s="437" t="s">
        <v>80</v>
      </c>
      <c r="C1" s="437"/>
      <c r="D1" s="437"/>
      <c r="E1" s="437"/>
      <c r="F1" s="437"/>
      <c r="G1" s="437"/>
      <c r="H1" s="437"/>
      <c r="I1" s="437"/>
      <c r="J1" s="437"/>
      <c r="K1" s="437"/>
      <c r="M1" s="111"/>
      <c r="N1" s="111"/>
      <c r="O1" s="111"/>
      <c r="P1" s="39"/>
    </row>
    <row r="2" spans="1:16" ht="13.2" customHeight="1" x14ac:dyDescent="0.25">
      <c r="B2" s="437" t="s">
        <v>10</v>
      </c>
      <c r="C2" s="437"/>
      <c r="D2" s="437"/>
      <c r="E2" s="437"/>
      <c r="F2" s="437"/>
      <c r="G2" s="437"/>
      <c r="H2" s="437"/>
      <c r="I2" s="437"/>
      <c r="J2" s="437"/>
      <c r="K2" s="437"/>
      <c r="M2" s="111"/>
      <c r="N2" s="111"/>
      <c r="O2" s="111"/>
      <c r="P2" s="39"/>
    </row>
    <row r="3" spans="1:16" ht="13.2" customHeight="1" x14ac:dyDescent="0.25">
      <c r="B3" s="437" t="s">
        <v>169</v>
      </c>
      <c r="C3" s="437"/>
      <c r="D3" s="437"/>
      <c r="E3" s="437"/>
      <c r="F3" s="437"/>
      <c r="G3" s="437"/>
      <c r="H3" s="437"/>
      <c r="I3" s="437"/>
      <c r="J3" s="437"/>
      <c r="K3" s="437"/>
      <c r="M3" s="111"/>
      <c r="N3" s="111"/>
      <c r="O3" s="111"/>
      <c r="P3" s="39"/>
    </row>
    <row r="4" spans="1:16" ht="13.2" customHeight="1" x14ac:dyDescent="0.25">
      <c r="B4" s="432" t="s">
        <v>147</v>
      </c>
      <c r="C4" s="432"/>
      <c r="D4" s="432"/>
      <c r="E4" s="432"/>
      <c r="F4" s="432"/>
      <c r="G4" s="432"/>
      <c r="H4" s="432"/>
      <c r="I4" s="432"/>
      <c r="J4" s="432"/>
      <c r="K4" s="432"/>
      <c r="M4" s="111"/>
      <c r="N4" s="111"/>
      <c r="O4" s="111"/>
      <c r="P4" s="39"/>
    </row>
    <row r="5" spans="1:16" ht="13.2" customHeight="1" x14ac:dyDescent="0.25">
      <c r="B5" s="432" t="s">
        <v>100</v>
      </c>
      <c r="C5" s="432"/>
      <c r="D5" s="432"/>
      <c r="E5" s="432"/>
      <c r="F5" s="432"/>
      <c r="G5" s="432"/>
      <c r="H5" s="432"/>
      <c r="I5" s="432"/>
      <c r="J5" s="432"/>
      <c r="K5" s="432"/>
      <c r="M5" s="111"/>
      <c r="N5" s="111"/>
      <c r="O5" s="111"/>
      <c r="P5" s="39"/>
    </row>
    <row r="6" spans="1:16" ht="13.2" customHeight="1" x14ac:dyDescent="0.25">
      <c r="B6" s="438" t="s">
        <v>12</v>
      </c>
      <c r="C6" s="438"/>
      <c r="D6" s="438"/>
      <c r="E6" s="438"/>
      <c r="F6" s="438"/>
      <c r="G6" s="438"/>
      <c r="H6" s="438"/>
      <c r="I6" s="438"/>
      <c r="J6" s="438"/>
      <c r="K6" s="438"/>
      <c r="M6" s="111"/>
      <c r="N6" s="111"/>
      <c r="O6" s="111"/>
      <c r="P6" s="39"/>
    </row>
    <row r="7" spans="1:16" ht="13.2" customHeight="1" x14ac:dyDescent="0.3">
      <c r="B7" s="433" t="s">
        <v>106</v>
      </c>
      <c r="C7" s="433"/>
      <c r="D7" s="433"/>
      <c r="E7" s="433"/>
      <c r="F7" s="433"/>
      <c r="G7" s="433"/>
      <c r="H7" s="433"/>
      <c r="I7" s="433"/>
      <c r="J7" s="433"/>
      <c r="K7" s="433"/>
      <c r="M7" s="111"/>
      <c r="N7" s="111"/>
      <c r="O7" s="111"/>
      <c r="P7" s="39"/>
    </row>
    <row r="8" spans="1:16" ht="13.2" hidden="1" customHeight="1" x14ac:dyDescent="0.3">
      <c r="C8" s="45"/>
      <c r="D8" s="37"/>
      <c r="G8" s="41"/>
      <c r="H8" s="41"/>
      <c r="M8" s="111"/>
      <c r="N8" s="111"/>
      <c r="O8" s="111"/>
      <c r="P8" s="39"/>
    </row>
    <row r="9" spans="1:16" ht="13.2" hidden="1" customHeight="1" x14ac:dyDescent="0.25">
      <c r="C9" s="112"/>
      <c r="D9" s="21"/>
      <c r="G9" s="41"/>
      <c r="H9" s="113"/>
      <c r="I9" s="36"/>
      <c r="J9" s="36"/>
      <c r="M9" s="111"/>
      <c r="N9" s="111"/>
      <c r="O9" s="111"/>
      <c r="P9" s="43"/>
    </row>
    <row r="10" spans="1:16" ht="13.2" hidden="1" customHeight="1" outlineLevel="1" x14ac:dyDescent="0.3">
      <c r="C10" s="44"/>
      <c r="D10" s="37"/>
      <c r="F10" s="45"/>
      <c r="J10" s="92"/>
      <c r="M10" s="111"/>
      <c r="N10" s="111"/>
      <c r="O10" s="111"/>
      <c r="P10" s="43"/>
    </row>
    <row r="11" spans="1:16" ht="13.2" customHeight="1" collapsed="1" x14ac:dyDescent="0.3">
      <c r="B11" s="181" t="s">
        <v>241</v>
      </c>
      <c r="C11" s="182"/>
      <c r="D11" s="37"/>
      <c r="G11" s="185"/>
      <c r="H11" s="24"/>
      <c r="J11" s="180" t="s">
        <v>102</v>
      </c>
      <c r="K11" s="181">
        <v>0.70833333333333337</v>
      </c>
      <c r="M11" s="111"/>
      <c r="N11" s="111"/>
      <c r="O11" s="111"/>
      <c r="P11" s="43"/>
    </row>
    <row r="12" spans="1:16" ht="13.2" hidden="1" customHeight="1" outlineLevel="1" x14ac:dyDescent="0.3">
      <c r="C12" s="182" t="s">
        <v>11</v>
      </c>
      <c r="D12" s="37"/>
      <c r="G12" s="185" t="s">
        <v>106</v>
      </c>
      <c r="H12" s="24"/>
      <c r="J12" s="186"/>
      <c r="M12" s="111"/>
      <c r="N12" s="111"/>
      <c r="O12" s="111"/>
      <c r="P12" s="43"/>
    </row>
    <row r="13" spans="1:16" ht="13.2" customHeight="1" collapsed="1" x14ac:dyDescent="0.25">
      <c r="B13" s="183" t="s">
        <v>98</v>
      </c>
      <c r="J13" s="180" t="s">
        <v>103</v>
      </c>
      <c r="M13" s="111"/>
      <c r="N13" s="111"/>
      <c r="O13" s="111"/>
      <c r="P13" s="39"/>
    </row>
    <row r="14" spans="1:16" s="48" customFormat="1" ht="20.399999999999999" customHeight="1" x14ac:dyDescent="0.25">
      <c r="A14" s="46"/>
      <c r="B14" s="203" t="s">
        <v>117</v>
      </c>
      <c r="C14" s="193" t="s">
        <v>113</v>
      </c>
      <c r="D14" s="193" t="s">
        <v>114</v>
      </c>
      <c r="E14" s="193" t="s">
        <v>115</v>
      </c>
      <c r="F14" s="194" t="s">
        <v>116</v>
      </c>
      <c r="G14" s="46">
        <v>1</v>
      </c>
      <c r="H14" s="46">
        <v>2</v>
      </c>
      <c r="I14" s="46">
        <v>3</v>
      </c>
      <c r="J14" s="46" t="s">
        <v>18</v>
      </c>
      <c r="K14" s="47" t="s">
        <v>29</v>
      </c>
      <c r="L14" s="49"/>
      <c r="M14" s="114"/>
      <c r="N14" s="114"/>
      <c r="O14" s="114"/>
      <c r="P14" s="43"/>
    </row>
    <row r="15" spans="1:16" s="48" customFormat="1" ht="13.2" hidden="1" customHeight="1" x14ac:dyDescent="0.25">
      <c r="K15" s="49"/>
      <c r="L15" s="49"/>
      <c r="M15" s="114"/>
      <c r="N15" s="114"/>
      <c r="O15" s="114"/>
      <c r="P15" s="43"/>
    </row>
    <row r="16" spans="1:16" s="48" customFormat="1" ht="13.2" hidden="1" customHeight="1" x14ac:dyDescent="0.25">
      <c r="D16" s="48" t="s">
        <v>38</v>
      </c>
      <c r="K16" s="49"/>
      <c r="L16" s="49"/>
      <c r="M16" s="114"/>
      <c r="N16" s="114"/>
      <c r="O16" s="114"/>
      <c r="P16" s="43"/>
    </row>
    <row r="17" spans="1:33" s="48" customFormat="1" ht="15" customHeight="1" x14ac:dyDescent="0.25">
      <c r="A17" s="24"/>
      <c r="B17" s="52">
        <v>1</v>
      </c>
      <c r="C17" s="52">
        <v>9</v>
      </c>
      <c r="D17" s="115" t="s">
        <v>142</v>
      </c>
      <c r="E17" s="116" t="s">
        <v>143</v>
      </c>
      <c r="F17" s="132" t="s">
        <v>175</v>
      </c>
      <c r="G17" s="430">
        <v>10.26</v>
      </c>
      <c r="H17" s="431" t="s">
        <v>242</v>
      </c>
      <c r="I17" s="431" t="s">
        <v>242</v>
      </c>
      <c r="J17" s="295">
        <v>10.26</v>
      </c>
      <c r="K17" s="58">
        <v>546</v>
      </c>
      <c r="L17" s="49"/>
      <c r="M17" s="119"/>
      <c r="N17" s="119"/>
      <c r="O17" s="119"/>
      <c r="P17" s="109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</row>
    <row r="18" spans="1:33" ht="15" customHeight="1" x14ac:dyDescent="0.25">
      <c r="B18" s="52">
        <v>2</v>
      </c>
      <c r="C18" s="52">
        <v>69</v>
      </c>
      <c r="D18" s="115" t="s">
        <v>223</v>
      </c>
      <c r="E18" s="116" t="s">
        <v>224</v>
      </c>
      <c r="F18" s="132" t="s">
        <v>226</v>
      </c>
      <c r="G18" s="430">
        <v>10.39</v>
      </c>
      <c r="H18" s="431" t="s">
        <v>242</v>
      </c>
      <c r="I18" s="431" t="s">
        <v>242</v>
      </c>
      <c r="J18" s="295">
        <v>10.39</v>
      </c>
      <c r="K18" s="58">
        <v>555</v>
      </c>
      <c r="L18" s="49"/>
      <c r="M18" s="119"/>
      <c r="N18" s="119"/>
      <c r="O18" s="119"/>
      <c r="P18" s="109"/>
      <c r="Q18" s="423"/>
      <c r="R18" s="423"/>
      <c r="S18" s="423"/>
    </row>
    <row r="19" spans="1:33" ht="15" customHeight="1" x14ac:dyDescent="0.25">
      <c r="B19" s="52">
        <v>3</v>
      </c>
      <c r="C19" s="52">
        <v>117</v>
      </c>
      <c r="D19" s="115" t="s">
        <v>229</v>
      </c>
      <c r="E19" s="116" t="s">
        <v>230</v>
      </c>
      <c r="F19" s="132" t="s">
        <v>232</v>
      </c>
      <c r="G19" s="430">
        <v>12.49</v>
      </c>
      <c r="H19" s="431" t="s">
        <v>242</v>
      </c>
      <c r="I19" s="431" t="s">
        <v>242</v>
      </c>
      <c r="J19" s="295">
        <v>12.49</v>
      </c>
      <c r="K19" s="58">
        <v>694</v>
      </c>
      <c r="L19" s="49"/>
      <c r="M19" s="119"/>
      <c r="N19" s="119"/>
      <c r="O19" s="119"/>
      <c r="P19" s="109"/>
    </row>
    <row r="20" spans="1:33" ht="15" customHeight="1" x14ac:dyDescent="0.25">
      <c r="B20" s="52">
        <v>4</v>
      </c>
      <c r="C20" s="52">
        <v>8</v>
      </c>
      <c r="D20" s="115" t="s">
        <v>133</v>
      </c>
      <c r="E20" s="116" t="s">
        <v>130</v>
      </c>
      <c r="F20" s="132" t="s">
        <v>192</v>
      </c>
      <c r="G20" s="430">
        <v>12.17</v>
      </c>
      <c r="H20" s="431" t="s">
        <v>242</v>
      </c>
      <c r="I20" s="431" t="s">
        <v>242</v>
      </c>
      <c r="J20" s="295">
        <v>12.17</v>
      </c>
      <c r="K20" s="58">
        <v>672</v>
      </c>
      <c r="L20" s="49"/>
      <c r="M20" s="119"/>
      <c r="N20" s="119"/>
      <c r="O20" s="119"/>
      <c r="P20" s="109"/>
    </row>
    <row r="21" spans="1:33" ht="15" customHeight="1" x14ac:dyDescent="0.25">
      <c r="B21" s="52">
        <v>5</v>
      </c>
      <c r="C21" s="52">
        <v>64</v>
      </c>
      <c r="D21" s="115" t="s">
        <v>213</v>
      </c>
      <c r="E21" s="116" t="s">
        <v>214</v>
      </c>
      <c r="F21" s="132" t="s">
        <v>215</v>
      </c>
      <c r="G21" s="430">
        <v>14.48</v>
      </c>
      <c r="H21" s="431" t="s">
        <v>242</v>
      </c>
      <c r="I21" s="431" t="s">
        <v>242</v>
      </c>
      <c r="J21" s="295">
        <v>14.48</v>
      </c>
      <c r="K21" s="58">
        <v>826</v>
      </c>
      <c r="L21" s="49"/>
      <c r="M21" s="119"/>
      <c r="N21" s="119"/>
      <c r="O21" s="119"/>
      <c r="P21" s="109"/>
    </row>
    <row r="22" spans="1:33" ht="15" customHeight="1" x14ac:dyDescent="0.25">
      <c r="B22" s="52">
        <v>6</v>
      </c>
      <c r="C22" s="52">
        <v>23</v>
      </c>
      <c r="D22" s="115" t="s">
        <v>185</v>
      </c>
      <c r="E22" s="116" t="s">
        <v>186</v>
      </c>
      <c r="F22" s="132" t="s">
        <v>188</v>
      </c>
      <c r="G22" s="430" t="s">
        <v>242</v>
      </c>
      <c r="H22" s="431" t="s">
        <v>242</v>
      </c>
      <c r="I22" s="431" t="s">
        <v>242</v>
      </c>
      <c r="J22" s="295">
        <v>0</v>
      </c>
      <c r="K22" s="58">
        <v>0</v>
      </c>
      <c r="L22" s="49"/>
      <c r="M22" s="119"/>
      <c r="N22" s="119"/>
      <c r="O22" s="119"/>
      <c r="P22" s="109"/>
      <c r="Q22" s="306"/>
      <c r="R22" s="306"/>
      <c r="S22" s="306"/>
    </row>
    <row r="23" spans="1:33" ht="15" customHeight="1" x14ac:dyDescent="0.25">
      <c r="B23" s="52">
        <v>7</v>
      </c>
      <c r="C23" s="52">
        <v>54</v>
      </c>
      <c r="D23" s="115" t="s">
        <v>200</v>
      </c>
      <c r="E23" s="116" t="s">
        <v>201</v>
      </c>
      <c r="F23" s="132" t="s">
        <v>197</v>
      </c>
      <c r="G23" s="430">
        <v>12.52</v>
      </c>
      <c r="H23" s="431" t="s">
        <v>242</v>
      </c>
      <c r="I23" s="431" t="s">
        <v>242</v>
      </c>
      <c r="J23" s="295">
        <v>12.52</v>
      </c>
      <c r="K23" s="58">
        <v>696</v>
      </c>
      <c r="L23" s="49"/>
      <c r="M23" s="119"/>
      <c r="N23" s="119"/>
      <c r="O23" s="119"/>
      <c r="P23" s="109"/>
      <c r="S23" s="423"/>
    </row>
    <row r="24" spans="1:33" ht="15" customHeight="1" x14ac:dyDescent="0.25">
      <c r="B24" s="52">
        <v>8</v>
      </c>
      <c r="C24" s="52">
        <v>25</v>
      </c>
      <c r="D24" s="115" t="s">
        <v>179</v>
      </c>
      <c r="E24" s="116" t="s">
        <v>180</v>
      </c>
      <c r="F24" s="120" t="s">
        <v>182</v>
      </c>
      <c r="G24" s="430">
        <v>12.43</v>
      </c>
      <c r="H24" s="431" t="s">
        <v>242</v>
      </c>
      <c r="I24" s="431" t="s">
        <v>242</v>
      </c>
      <c r="J24" s="295">
        <v>12.43</v>
      </c>
      <c r="K24" s="58">
        <v>690</v>
      </c>
      <c r="L24" s="49"/>
      <c r="M24" s="119"/>
      <c r="N24" s="119"/>
      <c r="O24" s="119"/>
      <c r="P24" s="109"/>
    </row>
    <row r="25" spans="1:33" ht="15" customHeight="1" x14ac:dyDescent="0.25">
      <c r="B25" s="52">
        <v>9</v>
      </c>
      <c r="C25" s="52">
        <v>10</v>
      </c>
      <c r="D25" s="115" t="s">
        <v>140</v>
      </c>
      <c r="E25" s="116" t="s">
        <v>141</v>
      </c>
      <c r="F25" s="120" t="s">
        <v>170</v>
      </c>
      <c r="G25" s="430" t="s">
        <v>242</v>
      </c>
      <c r="H25" s="431" t="s">
        <v>242</v>
      </c>
      <c r="I25" s="431" t="s">
        <v>242</v>
      </c>
      <c r="J25" s="295">
        <v>0</v>
      </c>
      <c r="K25" s="58">
        <v>0</v>
      </c>
      <c r="L25" s="49"/>
      <c r="M25" s="119"/>
      <c r="N25" s="119"/>
      <c r="O25" s="119"/>
      <c r="P25" s="109"/>
      <c r="S25" s="425"/>
    </row>
    <row r="26" spans="1:33" ht="15" customHeight="1" x14ac:dyDescent="0.25">
      <c r="B26" s="52">
        <v>10</v>
      </c>
      <c r="C26" s="52">
        <v>56</v>
      </c>
      <c r="D26" s="115" t="s">
        <v>209</v>
      </c>
      <c r="E26" s="116" t="s">
        <v>210</v>
      </c>
      <c r="F26" s="120" t="s">
        <v>197</v>
      </c>
      <c r="G26" s="430">
        <v>11.03</v>
      </c>
      <c r="H26" s="431" t="s">
        <v>242</v>
      </c>
      <c r="I26" s="431" t="s">
        <v>242</v>
      </c>
      <c r="J26" s="295">
        <v>11.03</v>
      </c>
      <c r="K26" s="58">
        <v>597</v>
      </c>
      <c r="L26" s="49"/>
      <c r="M26" s="119"/>
      <c r="N26" s="119"/>
      <c r="O26" s="119"/>
      <c r="P26" s="109"/>
    </row>
    <row r="27" spans="1:33" ht="15" customHeight="1" x14ac:dyDescent="0.25">
      <c r="B27" s="52">
        <v>11</v>
      </c>
      <c r="C27" s="52">
        <v>66</v>
      </c>
      <c r="D27" s="115" t="s">
        <v>217</v>
      </c>
      <c r="E27" s="116" t="s">
        <v>132</v>
      </c>
      <c r="F27" s="120" t="s">
        <v>215</v>
      </c>
      <c r="G27" s="430">
        <v>12.72</v>
      </c>
      <c r="H27" s="431" t="s">
        <v>242</v>
      </c>
      <c r="I27" s="431" t="s">
        <v>242</v>
      </c>
      <c r="J27" s="295">
        <v>12.72</v>
      </c>
      <c r="K27" s="58">
        <v>709</v>
      </c>
      <c r="L27" s="49"/>
      <c r="M27" s="119"/>
      <c r="N27" s="119"/>
      <c r="O27" s="119"/>
      <c r="P27" s="109"/>
    </row>
    <row r="28" spans="1:33" ht="15" customHeight="1" x14ac:dyDescent="0.25">
      <c r="B28" s="52">
        <v>12</v>
      </c>
      <c r="C28" s="52">
        <v>55</v>
      </c>
      <c r="D28" s="115" t="s">
        <v>194</v>
      </c>
      <c r="E28" s="116" t="s">
        <v>195</v>
      </c>
      <c r="F28" s="120" t="s">
        <v>197</v>
      </c>
      <c r="G28" s="430" t="s">
        <v>242</v>
      </c>
      <c r="H28" s="431" t="s">
        <v>242</v>
      </c>
      <c r="I28" s="431" t="s">
        <v>242</v>
      </c>
      <c r="J28" s="295">
        <v>0</v>
      </c>
      <c r="K28" s="58">
        <v>0</v>
      </c>
      <c r="L28" s="49"/>
      <c r="M28" s="119"/>
      <c r="N28" s="119"/>
      <c r="O28" s="119"/>
      <c r="P28" s="109"/>
      <c r="Q28" s="425" t="s">
        <v>95</v>
      </c>
      <c r="R28" s="425"/>
      <c r="S28" s="425"/>
    </row>
    <row r="29" spans="1:33" ht="15" customHeight="1" x14ac:dyDescent="0.25">
      <c r="B29" s="52">
        <v>13</v>
      </c>
      <c r="C29" s="52">
        <v>61</v>
      </c>
      <c r="D29" s="115" t="s">
        <v>205</v>
      </c>
      <c r="E29" s="116" t="s">
        <v>206</v>
      </c>
      <c r="F29" s="120" t="s">
        <v>197</v>
      </c>
      <c r="G29" s="430">
        <v>10.17</v>
      </c>
      <c r="H29" s="431" t="s">
        <v>242</v>
      </c>
      <c r="I29" s="431" t="s">
        <v>242</v>
      </c>
      <c r="J29" s="295">
        <v>10.17</v>
      </c>
      <c r="K29" s="58">
        <v>541</v>
      </c>
      <c r="L29" s="49"/>
      <c r="M29" s="119"/>
      <c r="N29" s="119"/>
      <c r="O29" s="119"/>
      <c r="P29" s="109"/>
      <c r="S29" s="306"/>
    </row>
    <row r="30" spans="1:33" ht="15" customHeight="1" x14ac:dyDescent="0.25">
      <c r="B30" s="52">
        <v>14</v>
      </c>
      <c r="C30" s="52">
        <v>109</v>
      </c>
      <c r="D30" s="115" t="s">
        <v>235</v>
      </c>
      <c r="E30" s="116" t="s">
        <v>236</v>
      </c>
      <c r="F30" s="120" t="s">
        <v>238</v>
      </c>
      <c r="G30" s="430">
        <v>10.43</v>
      </c>
      <c r="H30" s="431" t="s">
        <v>242</v>
      </c>
      <c r="I30" s="431" t="s">
        <v>242</v>
      </c>
      <c r="J30" s="295">
        <v>10.43</v>
      </c>
      <c r="K30" s="58">
        <v>558</v>
      </c>
      <c r="L30" s="49"/>
      <c r="M30" s="119"/>
      <c r="N30" s="119"/>
      <c r="O30" s="119"/>
      <c r="P30" s="109"/>
    </row>
    <row r="31" spans="1:33" ht="15" customHeight="1" x14ac:dyDescent="0.25">
      <c r="B31" s="52">
        <v>15</v>
      </c>
      <c r="C31" s="52">
        <v>65</v>
      </c>
      <c r="D31" s="115" t="s">
        <v>219</v>
      </c>
      <c r="E31" s="116" t="s">
        <v>220</v>
      </c>
      <c r="F31" s="120" t="s">
        <v>215</v>
      </c>
      <c r="G31" s="430">
        <v>12.81</v>
      </c>
      <c r="H31" s="431" t="s">
        <v>242</v>
      </c>
      <c r="I31" s="431" t="s">
        <v>242</v>
      </c>
      <c r="J31" s="295">
        <v>12.81</v>
      </c>
      <c r="K31" s="58">
        <v>715</v>
      </c>
      <c r="L31" s="49"/>
      <c r="M31" s="119"/>
      <c r="N31" s="119"/>
      <c r="O31" s="119"/>
      <c r="P31" s="109"/>
    </row>
    <row r="32" spans="1:33" s="425" customFormat="1" ht="15" customHeight="1" x14ac:dyDescent="0.25">
      <c r="B32" s="52">
        <v>16</v>
      </c>
      <c r="C32" s="52">
        <v>12</v>
      </c>
      <c r="D32" s="115" t="s">
        <v>134</v>
      </c>
      <c r="E32" s="116" t="s">
        <v>131</v>
      </c>
      <c r="F32" s="120" t="s">
        <v>177</v>
      </c>
      <c r="G32" s="430">
        <v>12.68</v>
      </c>
      <c r="H32" s="431" t="s">
        <v>242</v>
      </c>
      <c r="I32" s="431" t="s">
        <v>242</v>
      </c>
      <c r="J32" s="295">
        <v>12.68</v>
      </c>
      <c r="K32" s="58">
        <v>706</v>
      </c>
      <c r="L32" s="49"/>
      <c r="M32" s="119"/>
      <c r="N32" s="119"/>
      <c r="O32" s="119"/>
      <c r="P32" s="109"/>
    </row>
    <row r="33" spans="2:16" outlineLevel="1" x14ac:dyDescent="0.25">
      <c r="B33" s="331"/>
      <c r="C33" s="315"/>
      <c r="D33" s="332"/>
      <c r="E33" s="333"/>
      <c r="F33" s="334"/>
      <c r="G33" s="335"/>
      <c r="H33" s="336"/>
      <c r="I33" s="336"/>
      <c r="J33" s="320"/>
      <c r="K33" s="337"/>
      <c r="L33" s="49"/>
      <c r="M33" s="119"/>
      <c r="N33" s="119"/>
      <c r="O33" s="119"/>
      <c r="P33" s="109"/>
    </row>
    <row r="34" spans="2:16" ht="16.05" customHeight="1" x14ac:dyDescent="0.25">
      <c r="B34" s="294" t="s">
        <v>148</v>
      </c>
      <c r="C34" s="315"/>
      <c r="D34" s="332"/>
      <c r="E34" s="333"/>
      <c r="F34" s="334"/>
      <c r="G34" s="335"/>
      <c r="H34" s="336"/>
      <c r="I34" s="336"/>
      <c r="J34" s="320"/>
      <c r="K34" s="337"/>
      <c r="L34" s="49"/>
      <c r="M34" s="119"/>
      <c r="N34" s="119"/>
      <c r="O34" s="119"/>
      <c r="P34" s="109"/>
    </row>
    <row r="35" spans="2:16" ht="16.05" customHeight="1" x14ac:dyDescent="0.25">
      <c r="B35" s="294" t="s">
        <v>151</v>
      </c>
      <c r="C35" s="315"/>
      <c r="D35" s="338"/>
      <c r="E35" s="317"/>
      <c r="F35" s="318"/>
      <c r="G35" s="336"/>
      <c r="H35" s="336"/>
      <c r="I35" s="336"/>
      <c r="J35" s="320"/>
      <c r="K35" s="337"/>
      <c r="L35" s="49"/>
      <c r="M35" s="119"/>
      <c r="N35" s="119"/>
      <c r="O35" s="119"/>
      <c r="P35" s="109"/>
    </row>
    <row r="36" spans="2:16" ht="16.05" customHeight="1" x14ac:dyDescent="0.25">
      <c r="B36" s="294" t="s">
        <v>152</v>
      </c>
      <c r="C36" s="315"/>
      <c r="D36" s="332"/>
      <c r="E36" s="333"/>
      <c r="F36" s="334"/>
      <c r="G36" s="335"/>
      <c r="H36" s="336"/>
      <c r="I36" s="336"/>
      <c r="J36" s="320"/>
      <c r="K36" s="337"/>
      <c r="L36" s="49"/>
      <c r="M36" s="119"/>
      <c r="N36" s="119"/>
      <c r="O36" s="119"/>
      <c r="P36" s="109"/>
    </row>
    <row r="37" spans="2:16" x14ac:dyDescent="0.25">
      <c r="B37" s="331"/>
      <c r="C37" s="315"/>
      <c r="D37" s="332"/>
      <c r="E37" s="333"/>
      <c r="F37" s="334"/>
      <c r="G37" s="335"/>
      <c r="H37" s="336"/>
      <c r="I37" s="336"/>
      <c r="J37" s="320"/>
      <c r="K37" s="337"/>
      <c r="L37" s="49"/>
      <c r="M37" s="119"/>
      <c r="N37" s="119"/>
      <c r="O37" s="119"/>
      <c r="P37" s="109"/>
    </row>
    <row r="38" spans="2:16" x14ac:dyDescent="0.25">
      <c r="B38" s="324">
        <v>22</v>
      </c>
      <c r="C38" s="166">
        <v>1416</v>
      </c>
      <c r="D38" s="325" t="e">
        <f>VLOOKUP(C38,Уч!$A$2:$K$25,2,FALSE)</f>
        <v>#N/A</v>
      </c>
      <c r="E38" s="326" t="e">
        <f>VLOOKUP(C38,Уч!$A$2:$K$25,3,FALSE)</f>
        <v>#N/A</v>
      </c>
      <c r="F38" s="327" t="e">
        <f>VLOOKUP(C38,Уч!$A$2:$K$25,5,FALSE)</f>
        <v>#N/A</v>
      </c>
      <c r="G38" s="328" t="str">
        <f t="shared" ref="G38:G39" si="0">IF(M38=0,"X",M38/100)</f>
        <v>X</v>
      </c>
      <c r="H38" s="329" t="str">
        <f t="shared" ref="H38:H39" si="1">IF(N38=0,"X",N38/100)</f>
        <v>X</v>
      </c>
      <c r="I38" s="329" t="str">
        <f t="shared" ref="I38:I39" si="2">IF(O38=0,"X",O38/100)</f>
        <v>X</v>
      </c>
      <c r="J38" s="314">
        <f t="shared" ref="J38:J39" si="3">MAX(M38,N38,O38)/100</f>
        <v>0</v>
      </c>
      <c r="K38" s="330">
        <f t="shared" ref="K38:K39" si="4">IF(P38&lt;153,0,IF(P38=0,0,ROUNDDOWN(56.0211*(P38/100-1.5)^1.05,0)))</f>
        <v>0</v>
      </c>
      <c r="L38" s="49"/>
      <c r="M38" s="119"/>
      <c r="N38" s="119"/>
      <c r="O38" s="119"/>
      <c r="P38" s="109"/>
    </row>
    <row r="39" spans="2:16" x14ac:dyDescent="0.25">
      <c r="B39" s="52">
        <v>23</v>
      </c>
      <c r="C39" s="51">
        <v>1308</v>
      </c>
      <c r="D39" s="115" t="e">
        <f>VLOOKUP(C39,Уч!$A$2:$K$25,2,FALSE)</f>
        <v>#N/A</v>
      </c>
      <c r="E39" s="116" t="e">
        <f>VLOOKUP(C39,Уч!$A$2:$K$25,3,FALSE)</f>
        <v>#N/A</v>
      </c>
      <c r="F39" s="120" t="e">
        <f>VLOOKUP(C39,Уч!$A$2:$K$25,5,FALSE)</f>
        <v>#N/A</v>
      </c>
      <c r="G39" s="121" t="str">
        <f t="shared" si="0"/>
        <v>X</v>
      </c>
      <c r="H39" s="118" t="str">
        <f t="shared" si="1"/>
        <v>X</v>
      </c>
      <c r="I39" s="118" t="str">
        <f t="shared" si="2"/>
        <v>X</v>
      </c>
      <c r="J39" s="56">
        <f t="shared" si="3"/>
        <v>0</v>
      </c>
      <c r="K39" s="58">
        <f t="shared" si="4"/>
        <v>0</v>
      </c>
      <c r="L39" s="49"/>
      <c r="M39" s="119"/>
      <c r="N39" s="119"/>
      <c r="O39" s="119"/>
      <c r="P39" s="109"/>
    </row>
  </sheetData>
  <sortState ref="A17:AG32">
    <sortCondition ref="A17:A32"/>
  </sortState>
  <mergeCells count="7">
    <mergeCell ref="B7:K7"/>
    <mergeCell ref="B1:K1"/>
    <mergeCell ref="B2:K2"/>
    <mergeCell ref="B3:K3"/>
    <mergeCell ref="B4:K4"/>
    <mergeCell ref="B5:K5"/>
    <mergeCell ref="B6:K6"/>
  </mergeCells>
  <phoneticPr fontId="0" type="noConversion"/>
  <printOptions horizontalCentered="1"/>
  <pageMargins left="0.17" right="0.17" top="0.23" bottom="0.26" header="0.17" footer="0.17"/>
  <pageSetup paperSize="9" scale="123" orientation="landscape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AH104"/>
  <sheetViews>
    <sheetView view="pageBreakPreview" zoomScaleSheetLayoutView="100" workbookViewId="0">
      <selection activeCell="I25" sqref="I25"/>
    </sheetView>
  </sheetViews>
  <sheetFormatPr defaultColWidth="9.109375" defaultRowHeight="13.2" outlineLevelRow="1" outlineLevelCol="1" x14ac:dyDescent="0.25"/>
  <cols>
    <col min="1" max="1" width="12.33203125" style="24" customWidth="1" outlineLevel="1"/>
    <col min="2" max="2" width="6.33203125" style="24" customWidth="1"/>
    <col min="3" max="3" width="8" style="37" customWidth="1"/>
    <col min="4" max="4" width="23.33203125" style="24" customWidth="1"/>
    <col min="5" max="5" width="10.109375" style="24" bestFit="1" customWidth="1"/>
    <col min="6" max="6" width="22.33203125" style="24" customWidth="1"/>
    <col min="7" max="7" width="10.5546875" style="24" bestFit="1" customWidth="1"/>
    <col min="8" max="8" width="6.5546875" style="37" bestFit="1" customWidth="1"/>
    <col min="9" max="9" width="7.33203125" style="38" customWidth="1"/>
    <col min="10" max="10" width="7.109375" style="24" customWidth="1" outlineLevel="1"/>
    <col min="11" max="16384" width="9.109375" style="24"/>
  </cols>
  <sheetData>
    <row r="1" spans="1:11" ht="13.2" customHeight="1" x14ac:dyDescent="0.25">
      <c r="B1" s="437" t="str">
        <f>Расп!A21</f>
        <v>МИНИСТЕРСТВО СПОРТА РОССИЙСКОЙ ФЕДЕРАЦИИ</v>
      </c>
      <c r="C1" s="437"/>
      <c r="D1" s="437"/>
      <c r="E1" s="437"/>
      <c r="F1" s="437"/>
      <c r="G1" s="437"/>
      <c r="H1" s="437"/>
      <c r="I1" s="24"/>
      <c r="J1" s="39"/>
    </row>
    <row r="2" spans="1:11" ht="13.2" customHeight="1" x14ac:dyDescent="0.25">
      <c r="B2" s="437" t="str">
        <f>Расп!A22</f>
        <v>ВСЕРОССИЙСКАЯ ФЕДЕРАЦИЯ ЛЕГКОЙ АТЛЕТИКИ</v>
      </c>
      <c r="C2" s="437"/>
      <c r="D2" s="437"/>
      <c r="E2" s="437"/>
      <c r="F2" s="437"/>
      <c r="G2" s="437"/>
      <c r="H2" s="437"/>
      <c r="I2" s="24"/>
      <c r="J2" s="39"/>
    </row>
    <row r="3" spans="1:11" ht="13.2" customHeight="1" x14ac:dyDescent="0.25">
      <c r="B3" s="437" t="str">
        <f>Расп!A25</f>
        <v>Командный чемпионат России</v>
      </c>
      <c r="C3" s="437"/>
      <c r="D3" s="437"/>
      <c r="E3" s="437"/>
      <c r="F3" s="437"/>
      <c r="G3" s="437"/>
      <c r="H3" s="437"/>
      <c r="I3" s="24"/>
      <c r="J3" s="39"/>
    </row>
    <row r="4" spans="1:11" ht="13.2" customHeight="1" x14ac:dyDescent="0.25">
      <c r="B4" s="432" t="str">
        <f>Расп!A27</f>
        <v>по многоборью</v>
      </c>
      <c r="C4" s="432"/>
      <c r="D4" s="432"/>
      <c r="E4" s="432"/>
      <c r="F4" s="432"/>
      <c r="G4" s="432"/>
      <c r="H4" s="432"/>
      <c r="I4" s="24"/>
      <c r="J4" s="39"/>
    </row>
    <row r="5" spans="1:11" ht="13.2" customHeight="1" x14ac:dyDescent="0.25">
      <c r="B5" s="432" t="str">
        <f>Расп!B13</f>
        <v>Женщины</v>
      </c>
      <c r="C5" s="432"/>
      <c r="D5" s="432"/>
      <c r="E5" s="432"/>
      <c r="F5" s="432"/>
      <c r="G5" s="432"/>
      <c r="H5" s="432"/>
      <c r="I5" s="24"/>
      <c r="J5" s="39"/>
    </row>
    <row r="6" spans="1:11" ht="13.2" customHeight="1" x14ac:dyDescent="0.25">
      <c r="B6" s="438" t="s">
        <v>12</v>
      </c>
      <c r="C6" s="438"/>
      <c r="D6" s="438"/>
      <c r="E6" s="438"/>
      <c r="F6" s="438"/>
      <c r="G6" s="438"/>
      <c r="H6" s="438"/>
      <c r="I6" s="24"/>
      <c r="J6" s="39"/>
    </row>
    <row r="7" spans="1:11" ht="13.2" customHeight="1" x14ac:dyDescent="0.3">
      <c r="B7" s="433" t="str">
        <f>Расп!A5</f>
        <v>бег 200 м</v>
      </c>
      <c r="C7" s="433"/>
      <c r="D7" s="433"/>
      <c r="E7" s="433"/>
      <c r="F7" s="433"/>
      <c r="G7" s="433"/>
      <c r="H7" s="433"/>
      <c r="I7" s="24"/>
      <c r="J7" s="39"/>
    </row>
    <row r="8" spans="1:11" ht="13.2" hidden="1" customHeight="1" x14ac:dyDescent="0.25">
      <c r="C8" s="36"/>
      <c r="D8" s="37"/>
      <c r="G8" s="41"/>
      <c r="H8" s="41"/>
      <c r="J8" s="43" t="s">
        <v>22</v>
      </c>
    </row>
    <row r="9" spans="1:11" ht="13.2" hidden="1" customHeight="1" x14ac:dyDescent="0.25">
      <c r="C9" s="42"/>
      <c r="D9" s="21"/>
      <c r="G9" s="41"/>
      <c r="I9" s="113" t="str">
        <f>Расп!C5</f>
        <v xml:space="preserve"> </v>
      </c>
      <c r="J9" s="43" t="s">
        <v>23</v>
      </c>
    </row>
    <row r="10" spans="1:11" ht="13.2" hidden="1" customHeight="1" outlineLevel="1" x14ac:dyDescent="0.25">
      <c r="C10" s="187"/>
      <c r="D10" s="37"/>
      <c r="E10" s="37"/>
      <c r="G10" s="36"/>
      <c r="I10" s="24"/>
      <c r="J10" s="43" t="s">
        <v>24</v>
      </c>
    </row>
    <row r="11" spans="1:11" ht="13.2" customHeight="1" collapsed="1" x14ac:dyDescent="0.25">
      <c r="B11" s="188" t="s">
        <v>111</v>
      </c>
      <c r="C11" s="187"/>
      <c r="D11" s="37"/>
      <c r="E11" s="37"/>
      <c r="G11" s="89" t="str">
        <f>Расп!B1</f>
        <v>Начало:</v>
      </c>
      <c r="H11" s="189">
        <f>Расп!B5</f>
        <v>0.75347222222222221</v>
      </c>
      <c r="I11" s="24"/>
    </row>
    <row r="12" spans="1:11" ht="13.2" hidden="1" customHeight="1" outlineLevel="1" x14ac:dyDescent="0.25">
      <c r="C12" s="187" t="s">
        <v>11</v>
      </c>
      <c r="D12" s="37"/>
      <c r="E12" s="37"/>
      <c r="F12" s="36" t="str">
        <f>Расп!A5</f>
        <v>бег 200 м</v>
      </c>
      <c r="G12" s="89"/>
      <c r="I12" s="24"/>
      <c r="J12" s="39"/>
    </row>
    <row r="13" spans="1:11" ht="13.2" customHeight="1" collapsed="1" x14ac:dyDescent="0.25">
      <c r="B13" s="24" t="str">
        <f>Расп!A26</f>
        <v>г.Сочи, Адлерский район, стадион "Юность"</v>
      </c>
      <c r="C13" s="187"/>
      <c r="D13" s="37"/>
      <c r="E13" s="37"/>
      <c r="G13" s="180" t="str">
        <f>Расп!C1</f>
        <v>Окончание:</v>
      </c>
      <c r="I13" s="24"/>
      <c r="J13" s="39"/>
    </row>
    <row r="14" spans="1:11" s="48" customFormat="1" ht="20.399999999999999" customHeight="1" x14ac:dyDescent="0.25">
      <c r="A14" s="46" t="s">
        <v>37</v>
      </c>
      <c r="B14" s="204" t="s">
        <v>112</v>
      </c>
      <c r="C14" s="193" t="s">
        <v>113</v>
      </c>
      <c r="D14" s="193" t="s">
        <v>114</v>
      </c>
      <c r="E14" s="193" t="s">
        <v>115</v>
      </c>
      <c r="F14" s="194" t="s">
        <v>116</v>
      </c>
      <c r="G14" s="46" t="s">
        <v>18</v>
      </c>
      <c r="H14" s="47" t="s">
        <v>25</v>
      </c>
      <c r="I14" s="47" t="s">
        <v>29</v>
      </c>
      <c r="J14" s="43" t="s">
        <v>28</v>
      </c>
      <c r="K14" s="47" t="s">
        <v>25</v>
      </c>
    </row>
    <row r="15" spans="1:11" s="48" customFormat="1" ht="13.2" hidden="1" customHeight="1" x14ac:dyDescent="0.25">
      <c r="I15" s="49"/>
      <c r="J15" s="43"/>
    </row>
    <row r="16" spans="1:11" s="48" customFormat="1" ht="13.2" customHeight="1" x14ac:dyDescent="0.25">
      <c r="D16" s="48" t="s">
        <v>20</v>
      </c>
      <c r="I16" s="49"/>
      <c r="J16" s="43"/>
    </row>
    <row r="17" spans="1:13" s="131" customFormat="1" ht="13.2" customHeight="1" x14ac:dyDescent="0.35">
      <c r="A17" s="123">
        <f t="shared" ref="A17:A24" ca="1" si="0">RAND()</f>
        <v>0.76567486958254449</v>
      </c>
      <c r="B17" s="52">
        <v>1</v>
      </c>
      <c r="C17" s="52"/>
      <c r="D17" s="124" t="e">
        <f>VLOOKUP(C17,Уч!$A$2:$K$25,2,FALSE)</f>
        <v>#N/A</v>
      </c>
      <c r="E17" s="125" t="e">
        <f>VLOOKUP(C17,Уч!$A$2:$K$25,3,FALSE)</f>
        <v>#N/A</v>
      </c>
      <c r="F17" s="358" t="e">
        <f>VLOOKUP(C17,Уч!$A$2:$K$25,5,FALSE)</f>
        <v>#N/A</v>
      </c>
      <c r="G17" s="350">
        <f t="shared" ref="G17:G24" si="1">J17/100</f>
        <v>0</v>
      </c>
      <c r="H17" s="127">
        <f t="shared" ref="H17:H22" si="2">K17/10</f>
        <v>0</v>
      </c>
      <c r="I17" s="128">
        <f t="shared" ref="I17:I24" si="3">IF(J17&gt;4208,0,IF(J17=0,0,ROUNDDOWN(4.99087*(42.5-J17/100)^1.81,0)))</f>
        <v>0</v>
      </c>
      <c r="J17" s="129"/>
      <c r="K17" s="130"/>
      <c r="L17" s="123"/>
      <c r="M17" s="123"/>
    </row>
    <row r="18" spans="1:13" s="123" customFormat="1" ht="13.2" customHeight="1" x14ac:dyDescent="0.35">
      <c r="A18" s="123">
        <f ca="1">RAND()</f>
        <v>0.72131295891549851</v>
      </c>
      <c r="B18" s="52">
        <v>2</v>
      </c>
      <c r="C18" s="52">
        <v>13</v>
      </c>
      <c r="D18" s="115" t="e">
        <f>VLOOKUP(C18,Уч!$A$2:$K$25,2,FALSE)</f>
        <v>#N/A</v>
      </c>
      <c r="E18" s="116" t="e">
        <f>VLOOKUP(C18,Уч!$A$2:$K$25,3,FALSE)</f>
        <v>#N/A</v>
      </c>
      <c r="F18" s="120" t="e">
        <f>VLOOKUP(C18,Уч!$A$2:$K$25,5,FALSE)</f>
        <v>#N/A</v>
      </c>
      <c r="G18" s="361">
        <f t="shared" ref="G18:G23" si="4">J18/100</f>
        <v>28.13</v>
      </c>
      <c r="H18" s="362">
        <f t="shared" si="2"/>
        <v>1.2</v>
      </c>
      <c r="I18" s="128">
        <f>IF(J18&gt;4208,0,IF(J18=0,0,ROUNDDOWN(4.99087*(42.5-J18/100)^1.81,0)))</f>
        <v>621</v>
      </c>
      <c r="J18" s="129">
        <v>2813</v>
      </c>
      <c r="K18" s="130">
        <v>12</v>
      </c>
    </row>
    <row r="19" spans="1:13" s="123" customFormat="1" ht="13.2" customHeight="1" x14ac:dyDescent="0.35">
      <c r="A19" s="123">
        <f ca="1">RAND()</f>
        <v>1.7621772239922784E-2</v>
      </c>
      <c r="B19" s="52">
        <v>3</v>
      </c>
      <c r="C19" s="52">
        <v>87</v>
      </c>
      <c r="D19" s="115" t="e">
        <f>VLOOKUP(C19,Уч!$A$2:$K$25,2,FALSE)</f>
        <v>#N/A</v>
      </c>
      <c r="E19" s="116" t="e">
        <f>VLOOKUP(C19,Уч!$A$2:$K$25,3,FALSE)</f>
        <v>#N/A</v>
      </c>
      <c r="F19" s="120" t="e">
        <f>VLOOKUP(C19,Уч!$A$2:$K$25,5,FALSE)</f>
        <v>#N/A</v>
      </c>
      <c r="G19" s="361">
        <f t="shared" si="4"/>
        <v>26.04</v>
      </c>
      <c r="H19" s="362">
        <f t="shared" si="2"/>
        <v>1.2</v>
      </c>
      <c r="I19" s="128">
        <f t="shared" ref="I19:I23" si="5">IF(J19&gt;4208,0,IF(J19=0,0,ROUNDDOWN(4.99087*(42.5-J19/100)^1.81,0)))</f>
        <v>794</v>
      </c>
      <c r="J19" s="129">
        <v>2604</v>
      </c>
      <c r="K19" s="130">
        <v>12</v>
      </c>
    </row>
    <row r="20" spans="1:13" s="123" customFormat="1" ht="13.2" customHeight="1" x14ac:dyDescent="0.35">
      <c r="A20" s="123">
        <f ca="1">RAND()</f>
        <v>0.74207762215290052</v>
      </c>
      <c r="B20" s="52">
        <v>4</v>
      </c>
      <c r="C20" s="52">
        <v>38</v>
      </c>
      <c r="D20" s="115" t="e">
        <f>VLOOKUP(C20,Уч!$A$2:$K$25,2,FALSE)</f>
        <v>#N/A</v>
      </c>
      <c r="E20" s="116" t="e">
        <f>VLOOKUP(C20,Уч!$A$2:$K$25,3,FALSE)</f>
        <v>#N/A</v>
      </c>
      <c r="F20" s="120" t="e">
        <f>VLOOKUP(C20,Уч!$A$2:$K$25,5,FALSE)</f>
        <v>#N/A</v>
      </c>
      <c r="G20" s="361">
        <f t="shared" si="4"/>
        <v>26.46</v>
      </c>
      <c r="H20" s="362">
        <f t="shared" si="2"/>
        <v>1.2</v>
      </c>
      <c r="I20" s="128">
        <f t="shared" si="5"/>
        <v>757</v>
      </c>
      <c r="J20" s="129">
        <v>2646</v>
      </c>
      <c r="K20" s="130">
        <v>12</v>
      </c>
    </row>
    <row r="21" spans="1:13" s="123" customFormat="1" ht="13.2" customHeight="1" x14ac:dyDescent="0.35">
      <c r="A21" s="123">
        <f ca="1">RAND()</f>
        <v>8.6800704344143442E-2</v>
      </c>
      <c r="B21" s="52">
        <v>5</v>
      </c>
      <c r="C21" s="52">
        <v>64</v>
      </c>
      <c r="D21" s="115" t="str">
        <f>VLOOKUP(C21,Уч!$A$2:$K$25,2,FALSE)</f>
        <v>Дерган Евгения</v>
      </c>
      <c r="E21" s="116" t="str">
        <f>VLOOKUP(C21,Уч!$A$2:$K$25,3,FALSE)</f>
        <v>11.04.1994</v>
      </c>
      <c r="F21" s="120" t="str">
        <f>VLOOKUP(C21,Уч!$A$2:$K$25,5,FALSE)</f>
        <v xml:space="preserve">Республика Адыгея  </v>
      </c>
      <c r="G21" s="361">
        <f t="shared" si="4"/>
        <v>26.81</v>
      </c>
      <c r="H21" s="362">
        <f t="shared" si="2"/>
        <v>1.2</v>
      </c>
      <c r="I21" s="128">
        <f t="shared" si="5"/>
        <v>728</v>
      </c>
      <c r="J21" s="129">
        <v>2681</v>
      </c>
      <c r="K21" s="130">
        <v>12</v>
      </c>
    </row>
    <row r="22" spans="1:13" s="123" customFormat="1" ht="13.2" customHeight="1" x14ac:dyDescent="0.35">
      <c r="A22" s="123">
        <f ca="1">RAND()</f>
        <v>0.30913408981393309</v>
      </c>
      <c r="B22" s="52">
        <v>6</v>
      </c>
      <c r="C22" s="52">
        <v>61</v>
      </c>
      <c r="D22" s="115" t="str">
        <f>VLOOKUP(C22,Уч!$A$2:$K$25,2,FALSE)</f>
        <v>Ладикан Юлия</v>
      </c>
      <c r="E22" s="116" t="str">
        <f>VLOOKUP(C22,Уч!$A$2:$K$25,3,FALSE)</f>
        <v>15.04.1999</v>
      </c>
      <c r="F22" s="120" t="str">
        <f>VLOOKUP(C22,Уч!$A$2:$K$25,5,FALSE)</f>
        <v xml:space="preserve">Кемеровская область  </v>
      </c>
      <c r="G22" s="361">
        <f t="shared" si="4"/>
        <v>28.27</v>
      </c>
      <c r="H22" s="362">
        <f t="shared" si="2"/>
        <v>1.2</v>
      </c>
      <c r="I22" s="128">
        <f t="shared" si="5"/>
        <v>610</v>
      </c>
      <c r="J22" s="129">
        <v>2827</v>
      </c>
      <c r="K22" s="130">
        <v>12</v>
      </c>
    </row>
    <row r="23" spans="1:13" s="123" customFormat="1" ht="13.2" customHeight="1" x14ac:dyDescent="0.35">
      <c r="A23" s="123">
        <f t="shared" ref="A23" ca="1" si="6">RAND()</f>
        <v>0.13827705197604656</v>
      </c>
      <c r="B23" s="52">
        <v>7</v>
      </c>
      <c r="C23" s="52">
        <v>14</v>
      </c>
      <c r="D23" s="115" t="e">
        <f>VLOOKUP(C23,Уч!$A$2:$K$25,2,FALSE)</f>
        <v>#N/A</v>
      </c>
      <c r="E23" s="116" t="e">
        <f>VLOOKUP(C23,Уч!$A$2:$K$25,3,FALSE)</f>
        <v>#N/A</v>
      </c>
      <c r="F23" s="120" t="e">
        <f>VLOOKUP(C23,Уч!$A$2:$K$25,5,FALSE)</f>
        <v>#N/A</v>
      </c>
      <c r="G23" s="361">
        <f t="shared" si="4"/>
        <v>27.44</v>
      </c>
      <c r="H23" s="362">
        <f t="shared" ref="H23" si="7">K23/10</f>
        <v>1.2</v>
      </c>
      <c r="I23" s="128">
        <f t="shared" si="5"/>
        <v>676</v>
      </c>
      <c r="J23" s="129">
        <v>2744</v>
      </c>
      <c r="K23" s="130">
        <v>12</v>
      </c>
    </row>
    <row r="24" spans="1:13" s="123" customFormat="1" ht="13.2" customHeight="1" x14ac:dyDescent="0.35">
      <c r="A24" s="123">
        <f t="shared" ca="1" si="0"/>
        <v>0.47309215186628906</v>
      </c>
      <c r="B24" s="52">
        <v>8</v>
      </c>
      <c r="C24" s="52">
        <v>76</v>
      </c>
      <c r="D24" s="115" t="e">
        <f>VLOOKUP(C24,Уч!$A$2:$K$25,2,FALSE)</f>
        <v>#N/A</v>
      </c>
      <c r="E24" s="116" t="e">
        <f>VLOOKUP(C24,Уч!$A$2:$K$25,3,FALSE)</f>
        <v>#N/A</v>
      </c>
      <c r="F24" s="120" t="e">
        <f>VLOOKUP(C24,Уч!$A$2:$K$25,5,FALSE)</f>
        <v>#N/A</v>
      </c>
      <c r="G24" s="361">
        <f t="shared" si="1"/>
        <v>27.12</v>
      </c>
      <c r="H24" s="363"/>
      <c r="I24" s="128">
        <f t="shared" si="3"/>
        <v>702</v>
      </c>
      <c r="J24" s="129">
        <v>2712</v>
      </c>
      <c r="K24" s="81"/>
      <c r="L24" s="86"/>
      <c r="M24" s="86"/>
    </row>
    <row r="25" spans="1:13" s="48" customFormat="1" ht="13.2" customHeight="1" x14ac:dyDescent="0.25">
      <c r="D25" s="133"/>
      <c r="E25" s="66"/>
      <c r="F25" s="133"/>
      <c r="G25" s="66"/>
      <c r="H25" s="134"/>
      <c r="I25" s="49"/>
      <c r="J25" s="43"/>
      <c r="K25" s="46"/>
    </row>
    <row r="26" spans="1:13" s="48" customFormat="1" ht="13.2" customHeight="1" x14ac:dyDescent="0.25">
      <c r="D26" s="48" t="s">
        <v>64</v>
      </c>
      <c r="E26" s="66"/>
      <c r="F26" s="133"/>
      <c r="G26" s="66"/>
      <c r="H26" s="134"/>
      <c r="I26" s="49"/>
      <c r="J26" s="43"/>
      <c r="K26" s="46"/>
    </row>
    <row r="27" spans="1:13" s="131" customFormat="1" ht="13.2" customHeight="1" x14ac:dyDescent="0.35">
      <c r="A27" s="123">
        <f t="shared" ref="A27:A34" ca="1" si="8">RAND()</f>
        <v>0.67945422619849871</v>
      </c>
      <c r="B27" s="52">
        <v>1</v>
      </c>
      <c r="C27" s="52"/>
      <c r="D27" s="124" t="e">
        <f>VLOOKUP(C27,Уч!$A$2:$K$25,2,FALSE)</f>
        <v>#N/A</v>
      </c>
      <c r="E27" s="125" t="e">
        <f>VLOOKUP(C27,Уч!$A$2:$K$25,3,FALSE)</f>
        <v>#N/A</v>
      </c>
      <c r="F27" s="358" t="e">
        <f>VLOOKUP(C27,Уч!$A$2:$K$25,5,FALSE)</f>
        <v>#N/A</v>
      </c>
      <c r="G27" s="350">
        <f t="shared" ref="G27" si="9">J27/100</f>
        <v>0</v>
      </c>
      <c r="H27" s="127">
        <f t="shared" ref="H27:H34" si="10">K27/10</f>
        <v>0</v>
      </c>
      <c r="I27" s="128">
        <f t="shared" ref="I27:I34" si="11">IF(J27&gt;4208,0,IF(J27=0,0,ROUNDDOWN(4.99087*(42.5-J27/100)^1.81,0)))</f>
        <v>0</v>
      </c>
      <c r="J27" s="129"/>
      <c r="K27" s="130"/>
      <c r="L27" s="123"/>
      <c r="M27" s="123"/>
    </row>
    <row r="28" spans="1:13" s="123" customFormat="1" ht="13.2" customHeight="1" x14ac:dyDescent="0.35">
      <c r="A28" s="123">
        <f t="shared" ref="A28:A33" ca="1" si="12">RAND()</f>
        <v>5.8742355852674955E-2</v>
      </c>
      <c r="B28" s="52">
        <v>2</v>
      </c>
      <c r="C28" s="52">
        <v>27</v>
      </c>
      <c r="D28" s="115" t="e">
        <f>VLOOKUP(C28,Уч!$A$2:$K$25,2,FALSE)</f>
        <v>#N/A</v>
      </c>
      <c r="E28" s="116" t="e">
        <f>VLOOKUP(C28,Уч!$A$2:$K$25,3,FALSE)</f>
        <v>#N/A</v>
      </c>
      <c r="F28" s="120" t="e">
        <f>VLOOKUP(C28,Уч!$A$2:$K$25,5,FALSE)</f>
        <v>#N/A</v>
      </c>
      <c r="G28" s="361">
        <f t="shared" ref="G28:G33" si="13">J28/100</f>
        <v>26.2</v>
      </c>
      <c r="H28" s="362">
        <f t="shared" si="10"/>
        <v>1.2</v>
      </c>
      <c r="I28" s="128">
        <f t="shared" ref="I28:I33" si="14">IF(J28&gt;4208,0,IF(J28=0,0,ROUNDDOWN(4.99087*(42.5-J28/100)^1.81,0)))</f>
        <v>780</v>
      </c>
      <c r="J28" s="129">
        <v>2620</v>
      </c>
      <c r="K28" s="130">
        <v>12</v>
      </c>
    </row>
    <row r="29" spans="1:13" s="123" customFormat="1" ht="13.2" customHeight="1" x14ac:dyDescent="0.35">
      <c r="A29" s="123">
        <f t="shared" ca="1" si="12"/>
        <v>0.66440909228036071</v>
      </c>
      <c r="B29" s="52">
        <v>3</v>
      </c>
      <c r="C29" s="52">
        <v>19</v>
      </c>
      <c r="D29" s="115" t="e">
        <f>VLOOKUP(C29,Уч!$A$2:$K$25,2,FALSE)</f>
        <v>#N/A</v>
      </c>
      <c r="E29" s="116" t="e">
        <f>VLOOKUP(C29,Уч!$A$2:$K$25,3,FALSE)</f>
        <v>#N/A</v>
      </c>
      <c r="F29" s="120" t="e">
        <f>VLOOKUP(C29,Уч!$A$2:$K$25,5,FALSE)</f>
        <v>#N/A</v>
      </c>
      <c r="G29" s="361">
        <f t="shared" si="13"/>
        <v>26.05</v>
      </c>
      <c r="H29" s="362">
        <f t="shared" si="10"/>
        <v>1.2</v>
      </c>
      <c r="I29" s="128">
        <f t="shared" si="14"/>
        <v>793</v>
      </c>
      <c r="J29" s="129">
        <v>2605</v>
      </c>
      <c r="K29" s="130">
        <v>12</v>
      </c>
    </row>
    <row r="30" spans="1:13" s="123" customFormat="1" ht="13.2" customHeight="1" x14ac:dyDescent="0.35">
      <c r="A30" s="123">
        <f t="shared" ca="1" si="12"/>
        <v>0.57599131034451978</v>
      </c>
      <c r="B30" s="52">
        <v>4</v>
      </c>
      <c r="C30" s="52">
        <v>30</v>
      </c>
      <c r="D30" s="115" t="e">
        <f>VLOOKUP(C30,Уч!$A$2:$K$25,2,FALSE)</f>
        <v>#N/A</v>
      </c>
      <c r="E30" s="116" t="e">
        <f>VLOOKUP(C30,Уч!$A$2:$K$25,3,FALSE)</f>
        <v>#N/A</v>
      </c>
      <c r="F30" s="120" t="e">
        <f>VLOOKUP(C30,Уч!$A$2:$K$25,5,FALSE)</f>
        <v>#N/A</v>
      </c>
      <c r="G30" s="361">
        <f t="shared" si="13"/>
        <v>25.31</v>
      </c>
      <c r="H30" s="362">
        <f t="shared" si="10"/>
        <v>1.2</v>
      </c>
      <c r="I30" s="128">
        <f t="shared" si="14"/>
        <v>859</v>
      </c>
      <c r="J30" s="129">
        <v>2531</v>
      </c>
      <c r="K30" s="130">
        <v>12</v>
      </c>
    </row>
    <row r="31" spans="1:13" s="123" customFormat="1" ht="13.2" customHeight="1" x14ac:dyDescent="0.35">
      <c r="A31" s="123">
        <f t="shared" ca="1" si="12"/>
        <v>0.74864033375806716</v>
      </c>
      <c r="B31" s="52">
        <v>5</v>
      </c>
      <c r="C31" s="52">
        <v>71</v>
      </c>
      <c r="D31" s="115" t="e">
        <f>VLOOKUP(C31,Уч!$A$2:$K$25,2,FALSE)</f>
        <v>#N/A</v>
      </c>
      <c r="E31" s="116" t="e">
        <f>VLOOKUP(C31,Уч!$A$2:$K$25,3,FALSE)</f>
        <v>#N/A</v>
      </c>
      <c r="F31" s="120" t="e">
        <f>VLOOKUP(C31,Уч!$A$2:$K$25,5,FALSE)</f>
        <v>#N/A</v>
      </c>
      <c r="G31" s="361">
        <f t="shared" si="13"/>
        <v>24.88</v>
      </c>
      <c r="H31" s="362">
        <f t="shared" si="10"/>
        <v>1.2</v>
      </c>
      <c r="I31" s="128">
        <f t="shared" si="14"/>
        <v>898</v>
      </c>
      <c r="J31" s="129">
        <v>2488</v>
      </c>
      <c r="K31" s="130">
        <v>12</v>
      </c>
    </row>
    <row r="32" spans="1:13" s="123" customFormat="1" ht="13.2" customHeight="1" x14ac:dyDescent="0.35">
      <c r="A32" s="123">
        <f t="shared" ca="1" si="12"/>
        <v>0.6601083041938246</v>
      </c>
      <c r="B32" s="52">
        <v>6</v>
      </c>
      <c r="C32" s="52">
        <v>37</v>
      </c>
      <c r="D32" s="115" t="e">
        <f>VLOOKUP(C32,Уч!$A$2:$K$25,2,FALSE)</f>
        <v>#N/A</v>
      </c>
      <c r="E32" s="116" t="e">
        <f>VLOOKUP(C32,Уч!$A$2:$K$25,3,FALSE)</f>
        <v>#N/A</v>
      </c>
      <c r="F32" s="120" t="e">
        <f>VLOOKUP(C32,Уч!$A$2:$K$25,5,FALSE)</f>
        <v>#N/A</v>
      </c>
      <c r="G32" s="361">
        <f t="shared" si="13"/>
        <v>24.78</v>
      </c>
      <c r="H32" s="362">
        <f t="shared" si="10"/>
        <v>1.2</v>
      </c>
      <c r="I32" s="128">
        <f t="shared" si="14"/>
        <v>907</v>
      </c>
      <c r="J32" s="129">
        <v>2478</v>
      </c>
      <c r="K32" s="130">
        <v>12</v>
      </c>
    </row>
    <row r="33" spans="1:34" s="123" customFormat="1" ht="13.2" customHeight="1" x14ac:dyDescent="0.35">
      <c r="A33" s="123">
        <f t="shared" ca="1" si="12"/>
        <v>0.52218077335016777</v>
      </c>
      <c r="B33" s="52">
        <v>7</v>
      </c>
      <c r="C33" s="52">
        <v>21</v>
      </c>
      <c r="D33" s="115" t="e">
        <f>VLOOKUP(C33,Уч!$A$2:$K$25,2,FALSE)</f>
        <v>#N/A</v>
      </c>
      <c r="E33" s="116" t="e">
        <f>VLOOKUP(C33,Уч!$A$2:$K$25,3,FALSE)</f>
        <v>#N/A</v>
      </c>
      <c r="F33" s="120" t="e">
        <f>VLOOKUP(C33,Уч!$A$2:$K$25,5,FALSE)</f>
        <v>#N/A</v>
      </c>
      <c r="G33" s="361">
        <f t="shared" si="13"/>
        <v>25.4</v>
      </c>
      <c r="H33" s="362">
        <f t="shared" si="10"/>
        <v>1.2</v>
      </c>
      <c r="I33" s="128">
        <f t="shared" si="14"/>
        <v>850</v>
      </c>
      <c r="J33" s="129">
        <v>2540</v>
      </c>
      <c r="K33" s="130">
        <v>12</v>
      </c>
    </row>
    <row r="34" spans="1:34" s="123" customFormat="1" ht="13.2" customHeight="1" x14ac:dyDescent="0.35">
      <c r="A34" s="123">
        <f t="shared" ca="1" si="8"/>
        <v>0.19816708038702735</v>
      </c>
      <c r="B34" s="52">
        <v>8</v>
      </c>
      <c r="C34" s="52"/>
      <c r="D34" s="115"/>
      <c r="E34" s="116"/>
      <c r="F34" s="120"/>
      <c r="G34" s="350"/>
      <c r="H34" s="127">
        <f t="shared" si="10"/>
        <v>0</v>
      </c>
      <c r="I34" s="128">
        <f t="shared" si="11"/>
        <v>0</v>
      </c>
      <c r="J34" s="129"/>
      <c r="K34" s="130"/>
      <c r="L34" s="86"/>
      <c r="M34" s="86"/>
    </row>
    <row r="35" spans="1:34" s="123" customFormat="1" ht="13.2" customHeight="1" x14ac:dyDescent="0.35">
      <c r="B35" s="331"/>
      <c r="C35" s="331"/>
      <c r="D35" s="332"/>
      <c r="E35" s="333"/>
      <c r="F35" s="334"/>
      <c r="G35" s="348"/>
      <c r="H35" s="359"/>
      <c r="I35" s="360"/>
      <c r="J35" s="129"/>
      <c r="K35" s="130"/>
      <c r="L35" s="86"/>
      <c r="M35" s="86"/>
    </row>
    <row r="36" spans="1:34" s="123" customFormat="1" ht="16.05" customHeight="1" x14ac:dyDescent="0.35">
      <c r="B36" s="294" t="s">
        <v>148</v>
      </c>
      <c r="C36" s="331"/>
      <c r="D36" s="332"/>
      <c r="E36" s="333"/>
      <c r="F36" s="334"/>
      <c r="G36" s="348"/>
      <c r="H36" s="359"/>
      <c r="I36" s="360"/>
      <c r="J36" s="129"/>
      <c r="K36" s="130"/>
      <c r="L36" s="86"/>
      <c r="M36" s="86"/>
    </row>
    <row r="37" spans="1:34" s="123" customFormat="1" ht="16.05" customHeight="1" x14ac:dyDescent="0.35">
      <c r="B37" s="294" t="s">
        <v>149</v>
      </c>
      <c r="C37" s="331"/>
      <c r="D37" s="332"/>
      <c r="E37" s="333"/>
      <c r="F37" s="334"/>
      <c r="G37" s="348"/>
      <c r="H37" s="359"/>
      <c r="I37" s="360"/>
      <c r="J37" s="129"/>
      <c r="K37" s="130"/>
      <c r="L37" s="86"/>
      <c r="M37" s="86"/>
    </row>
    <row r="38" spans="1:34" s="48" customFormat="1" ht="16.05" customHeight="1" x14ac:dyDescent="0.25">
      <c r="B38" s="294" t="s">
        <v>150</v>
      </c>
      <c r="D38" s="133"/>
      <c r="E38" s="66"/>
      <c r="F38" s="133"/>
      <c r="G38" s="66"/>
      <c r="H38" s="134"/>
      <c r="I38" s="67"/>
      <c r="J38" s="43"/>
      <c r="K38" s="46"/>
    </row>
    <row r="39" spans="1:34" s="48" customFormat="1" x14ac:dyDescent="0.25">
      <c r="D39" s="133" t="s">
        <v>65</v>
      </c>
      <c r="E39" s="66"/>
      <c r="F39" s="133"/>
      <c r="G39" s="66"/>
      <c r="H39" s="134"/>
      <c r="I39" s="67"/>
      <c r="J39" s="43"/>
      <c r="K39" s="46"/>
    </row>
    <row r="40" spans="1:34" s="48" customFormat="1" x14ac:dyDescent="0.25">
      <c r="A40" s="24">
        <f t="shared" ref="A40:A47" ca="1" si="15">RAND()</f>
        <v>0.95402458834044279</v>
      </c>
      <c r="B40" s="51">
        <v>1</v>
      </c>
      <c r="C40" s="52"/>
      <c r="D40" s="53" t="e">
        <f>VLOOKUP(C40,Уч!$A$2:$K$25,2,FALSE)</f>
        <v>#N/A</v>
      </c>
      <c r="E40" s="54" t="e">
        <f>VLOOKUP(C40,Уч!$A$2:$K$25,3,FALSE)</f>
        <v>#N/A</v>
      </c>
      <c r="F40" s="135" t="e">
        <f>VLOOKUP(C40,Уч!$A$2:$K$25,5,FALSE)</f>
        <v>#N/A</v>
      </c>
      <c r="G40" s="56">
        <f t="shared" ref="G40:G47" si="16">J40/100</f>
        <v>0</v>
      </c>
      <c r="H40" s="136">
        <f t="shared" ref="H40:H46" si="17">K40/10</f>
        <v>0</v>
      </c>
      <c r="I40" s="58">
        <f t="shared" ref="I40:I47" si="18">IF(J40&gt;4208,0,IF(J40=0,0,ROUNDDOWN(4.99087*(42.5-J40/100)^1.81,0)))</f>
        <v>0</v>
      </c>
      <c r="J40" s="39"/>
      <c r="K40" s="82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</row>
    <row r="41" spans="1:34" x14ac:dyDescent="0.25">
      <c r="A41" s="24">
        <f t="shared" ca="1" si="15"/>
        <v>0.52077041068207419</v>
      </c>
      <c r="B41" s="51">
        <v>2</v>
      </c>
      <c r="C41" s="52">
        <v>42</v>
      </c>
      <c r="D41" s="61" t="e">
        <f>VLOOKUP(C41,Уч!$A$2:$K$25,2,FALSE)</f>
        <v>#N/A</v>
      </c>
      <c r="E41" s="62" t="e">
        <f>VLOOKUP(C41,Уч!$A$2:$K$25,3,FALSE)</f>
        <v>#N/A</v>
      </c>
      <c r="F41" s="137" t="e">
        <f>VLOOKUP(C41,Уч!$A$2:$K$25,5,FALSE)</f>
        <v>#N/A</v>
      </c>
      <c r="G41" s="56">
        <f t="shared" si="16"/>
        <v>0</v>
      </c>
      <c r="H41" s="136">
        <f t="shared" si="17"/>
        <v>0</v>
      </c>
      <c r="I41" s="58">
        <f t="shared" si="18"/>
        <v>0</v>
      </c>
      <c r="J41" s="39"/>
      <c r="K41" s="82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</row>
    <row r="42" spans="1:34" x14ac:dyDescent="0.25">
      <c r="A42" s="24">
        <f t="shared" ca="1" si="15"/>
        <v>0.48564426968292995</v>
      </c>
      <c r="B42" s="51">
        <v>3</v>
      </c>
      <c r="C42" s="52"/>
      <c r="D42" s="61" t="e">
        <f>VLOOKUP(C42,Уч!$A$2:$K$25,2,FALSE)</f>
        <v>#N/A</v>
      </c>
      <c r="E42" s="62" t="e">
        <f>VLOOKUP(C42,Уч!$A$2:$K$25,3,FALSE)</f>
        <v>#N/A</v>
      </c>
      <c r="F42" s="137" t="e">
        <f>VLOOKUP(C42,Уч!$A$2:$K$25,5,FALSE)</f>
        <v>#N/A</v>
      </c>
      <c r="G42" s="56">
        <f t="shared" si="16"/>
        <v>0</v>
      </c>
      <c r="H42" s="136">
        <f t="shared" si="17"/>
        <v>0</v>
      </c>
      <c r="I42" s="58">
        <f t="shared" si="18"/>
        <v>0</v>
      </c>
      <c r="J42" s="39"/>
      <c r="K42" s="82"/>
    </row>
    <row r="43" spans="1:34" x14ac:dyDescent="0.25">
      <c r="A43" s="24">
        <f t="shared" ca="1" si="15"/>
        <v>0.1929631571085928</v>
      </c>
      <c r="B43" s="51">
        <v>4</v>
      </c>
      <c r="C43" s="52"/>
      <c r="D43" s="61" t="e">
        <f>VLOOKUP(C43,Уч!$A$2:$K$25,2,FALSE)</f>
        <v>#N/A</v>
      </c>
      <c r="E43" s="62" t="e">
        <f>VLOOKUP(C43,Уч!$A$2:$K$25,3,FALSE)</f>
        <v>#N/A</v>
      </c>
      <c r="F43" s="137" t="e">
        <f>VLOOKUP(C43,Уч!$A$2:$K$25,5,FALSE)</f>
        <v>#N/A</v>
      </c>
      <c r="G43" s="56">
        <f t="shared" si="16"/>
        <v>0</v>
      </c>
      <c r="H43" s="136">
        <f t="shared" si="17"/>
        <v>0</v>
      </c>
      <c r="I43" s="58">
        <f t="shared" si="18"/>
        <v>0</v>
      </c>
      <c r="J43" s="39"/>
      <c r="K43" s="82"/>
    </row>
    <row r="44" spans="1:34" x14ac:dyDescent="0.25">
      <c r="A44" s="24">
        <f t="shared" ca="1" si="15"/>
        <v>0.49831498331662638</v>
      </c>
      <c r="B44" s="51">
        <v>5</v>
      </c>
      <c r="C44" s="52"/>
      <c r="D44" s="61" t="e">
        <f>VLOOKUP(C44,Уч!$A$2:$K$25,2,FALSE)</f>
        <v>#N/A</v>
      </c>
      <c r="E44" s="62" t="e">
        <f>VLOOKUP(C44,Уч!$A$2:$K$25,3,FALSE)</f>
        <v>#N/A</v>
      </c>
      <c r="F44" s="137" t="e">
        <f>VLOOKUP(C44,Уч!$A$2:$K$25,5,FALSE)</f>
        <v>#N/A</v>
      </c>
      <c r="G44" s="56">
        <f t="shared" si="16"/>
        <v>0</v>
      </c>
      <c r="H44" s="136">
        <f t="shared" si="17"/>
        <v>0</v>
      </c>
      <c r="I44" s="58">
        <f t="shared" si="18"/>
        <v>0</v>
      </c>
      <c r="J44" s="39"/>
      <c r="K44" s="82"/>
    </row>
    <row r="45" spans="1:34" x14ac:dyDescent="0.25">
      <c r="A45" s="24">
        <f t="shared" ca="1" si="15"/>
        <v>0.87539025596427078</v>
      </c>
      <c r="B45" s="51">
        <v>6</v>
      </c>
      <c r="C45" s="52"/>
      <c r="D45" s="61" t="e">
        <f>VLOOKUP(C45,Уч!$A$2:$K$25,2,FALSE)</f>
        <v>#N/A</v>
      </c>
      <c r="E45" s="62" t="e">
        <f>VLOOKUP(C45,Уч!$A$2:$K$25,3,FALSE)</f>
        <v>#N/A</v>
      </c>
      <c r="F45" s="137" t="e">
        <f>VLOOKUP(C45,Уч!$A$2:$K$25,5,FALSE)</f>
        <v>#N/A</v>
      </c>
      <c r="G45" s="56">
        <f t="shared" si="16"/>
        <v>0</v>
      </c>
      <c r="H45" s="136">
        <f t="shared" si="17"/>
        <v>0</v>
      </c>
      <c r="I45" s="58">
        <f t="shared" si="18"/>
        <v>0</v>
      </c>
      <c r="J45" s="39"/>
      <c r="K45" s="82"/>
    </row>
    <row r="46" spans="1:34" x14ac:dyDescent="0.25">
      <c r="A46" s="24">
        <f t="shared" ca="1" si="15"/>
        <v>0.99272576572449567</v>
      </c>
      <c r="B46" s="51">
        <v>7</v>
      </c>
      <c r="C46" s="64"/>
      <c r="D46" s="53" t="e">
        <f>VLOOKUP(C46,Уч!$A$2:$K$25,2,FALSE)</f>
        <v>#N/A</v>
      </c>
      <c r="E46" s="54" t="e">
        <f>VLOOKUP(C46,Уч!$A$2:$K$25,3,FALSE)</f>
        <v>#N/A</v>
      </c>
      <c r="F46" s="135" t="e">
        <f>VLOOKUP(C46,Уч!$A$2:$K$25,5,FALSE)</f>
        <v>#N/A</v>
      </c>
      <c r="G46" s="56">
        <f t="shared" si="16"/>
        <v>0</v>
      </c>
      <c r="H46" s="136">
        <f t="shared" si="17"/>
        <v>0</v>
      </c>
      <c r="I46" s="58">
        <f t="shared" si="18"/>
        <v>0</v>
      </c>
      <c r="J46" s="39"/>
      <c r="K46" s="82"/>
    </row>
    <row r="47" spans="1:34" x14ac:dyDescent="0.25">
      <c r="A47" s="24">
        <f t="shared" ca="1" si="15"/>
        <v>0.56029491656756725</v>
      </c>
      <c r="B47" s="51">
        <v>8</v>
      </c>
      <c r="C47" s="64"/>
      <c r="D47" s="53" t="e">
        <f>VLOOKUP(C47,Уч!$A$2:$K$25,2,FALSE)</f>
        <v>#N/A</v>
      </c>
      <c r="E47" s="54" t="e">
        <f>VLOOKUP(C47,Уч!$A$2:$K$25,3,FALSE)</f>
        <v>#N/A</v>
      </c>
      <c r="F47" s="135" t="e">
        <f>VLOOKUP(C47,Уч!$A$2:$K$25,5,FALSE)</f>
        <v>#N/A</v>
      </c>
      <c r="G47" s="56">
        <f t="shared" si="16"/>
        <v>0</v>
      </c>
      <c r="H47" s="138"/>
      <c r="I47" s="58">
        <f t="shared" si="18"/>
        <v>0</v>
      </c>
      <c r="J47" s="39"/>
      <c r="K47" s="139"/>
      <c r="L47" s="37"/>
      <c r="M47" s="37"/>
    </row>
    <row r="48" spans="1:34" s="48" customFormat="1" ht="6" customHeight="1" x14ac:dyDescent="0.25">
      <c r="D48" s="133"/>
      <c r="E48" s="66"/>
      <c r="F48" s="133"/>
      <c r="G48" s="66"/>
      <c r="H48" s="134"/>
      <c r="I48" s="67"/>
      <c r="J48" s="43"/>
      <c r="K48" s="46"/>
    </row>
    <row r="49" spans="1:34" s="48" customFormat="1" x14ac:dyDescent="0.25">
      <c r="D49" s="133" t="s">
        <v>21</v>
      </c>
      <c r="E49" s="66"/>
      <c r="F49" s="133"/>
      <c r="G49" s="66"/>
      <c r="H49" s="134"/>
      <c r="I49" s="67"/>
      <c r="J49" s="43"/>
      <c r="K49" s="46"/>
    </row>
    <row r="50" spans="1:34" s="48" customFormat="1" x14ac:dyDescent="0.25">
      <c r="A50" s="24">
        <f t="shared" ref="A50" ca="1" si="19">RAND()</f>
        <v>0.38056560278482021</v>
      </c>
      <c r="B50" s="51">
        <v>1</v>
      </c>
      <c r="C50" s="64"/>
      <c r="D50" s="53" t="e">
        <f>VLOOKUP(C50,Уч!$A$2:$K$25,2,FALSE)</f>
        <v>#N/A</v>
      </c>
      <c r="E50" s="54" t="e">
        <f>VLOOKUP(C50,Уч!$A$2:$K$25,3,FALSE)</f>
        <v>#N/A</v>
      </c>
      <c r="F50" s="135" t="e">
        <f>VLOOKUP(C50,Уч!$A$2:$K$25,5,FALSE)</f>
        <v>#N/A</v>
      </c>
      <c r="G50" s="56">
        <f t="shared" ref="G50" si="20">J50/100</f>
        <v>0</v>
      </c>
      <c r="H50" s="136">
        <f t="shared" ref="H50" si="21">K50/10</f>
        <v>0</v>
      </c>
      <c r="I50" s="58">
        <f t="shared" ref="I50" si="22">IF(J50&gt;4208,0,IF(J50=0,0,ROUNDDOWN(4.99087*(42.5-J50/100)^1.81,0)))</f>
        <v>0</v>
      </c>
      <c r="J50" s="39"/>
      <c r="K50" s="82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</row>
    <row r="51" spans="1:34" x14ac:dyDescent="0.25">
      <c r="A51" s="24">
        <f t="shared" ref="A51:A56" ca="1" si="23">RAND()</f>
        <v>1.9217957746296754E-2</v>
      </c>
      <c r="B51" s="51">
        <v>2</v>
      </c>
      <c r="C51" s="52"/>
      <c r="D51" s="53" t="e">
        <f>VLOOKUP(C51,Уч!$A$2:$K$25,2,FALSE)</f>
        <v>#N/A</v>
      </c>
      <c r="E51" s="54" t="e">
        <f>VLOOKUP(C51,Уч!$A$2:$K$25,3,FALSE)</f>
        <v>#N/A</v>
      </c>
      <c r="F51" s="135" t="e">
        <f>VLOOKUP(C51,Уч!$A$2:$K$25,5,FALSE)</f>
        <v>#N/A</v>
      </c>
      <c r="G51" s="56">
        <f t="shared" ref="G51:G56" si="24">J51/100</f>
        <v>0</v>
      </c>
      <c r="H51" s="136">
        <f t="shared" ref="H51:H56" si="25">K51/10</f>
        <v>0</v>
      </c>
      <c r="I51" s="58">
        <f t="shared" ref="I51:I56" si="26">IF(J51&gt;4208,0,IF(J51=0,0,ROUNDDOWN(4.99087*(42.5-J51/100)^1.81,0)))</f>
        <v>0</v>
      </c>
      <c r="J51" s="39"/>
      <c r="K51" s="82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</row>
    <row r="52" spans="1:34" x14ac:dyDescent="0.25">
      <c r="A52" s="24">
        <f t="shared" ca="1" si="23"/>
        <v>0.91608211381714999</v>
      </c>
      <c r="B52" s="51">
        <v>3</v>
      </c>
      <c r="C52" s="52"/>
      <c r="D52" s="53" t="e">
        <f>VLOOKUP(C52,Уч!$A$2:$K$25,2,FALSE)</f>
        <v>#N/A</v>
      </c>
      <c r="E52" s="54" t="e">
        <f>VLOOKUP(C52,Уч!$A$2:$K$25,3,FALSE)</f>
        <v>#N/A</v>
      </c>
      <c r="F52" s="135" t="e">
        <f>VLOOKUP(C52,Уч!$A$2:$K$25,5,FALSE)</f>
        <v>#N/A</v>
      </c>
      <c r="G52" s="56">
        <f t="shared" si="24"/>
        <v>0</v>
      </c>
      <c r="H52" s="136">
        <f t="shared" si="25"/>
        <v>0</v>
      </c>
      <c r="I52" s="58">
        <f t="shared" si="26"/>
        <v>0</v>
      </c>
      <c r="J52" s="39"/>
      <c r="K52" s="82"/>
    </row>
    <row r="53" spans="1:34" x14ac:dyDescent="0.25">
      <c r="A53" s="24">
        <f t="shared" ca="1" si="23"/>
        <v>0.32427461494856435</v>
      </c>
      <c r="B53" s="51">
        <v>4</v>
      </c>
      <c r="C53" s="52"/>
      <c r="D53" s="53" t="e">
        <f>VLOOKUP(C53,Уч!$A$2:$K$25,2,FALSE)</f>
        <v>#N/A</v>
      </c>
      <c r="E53" s="54" t="e">
        <f>VLOOKUP(C53,Уч!$A$2:$K$25,3,FALSE)</f>
        <v>#N/A</v>
      </c>
      <c r="F53" s="135" t="e">
        <f>VLOOKUP(C53,Уч!$A$2:$K$25,5,FALSE)</f>
        <v>#N/A</v>
      </c>
      <c r="G53" s="56">
        <f t="shared" si="24"/>
        <v>0</v>
      </c>
      <c r="H53" s="136">
        <f t="shared" si="25"/>
        <v>0</v>
      </c>
      <c r="I53" s="58">
        <f t="shared" si="26"/>
        <v>0</v>
      </c>
      <c r="J53" s="39"/>
      <c r="K53" s="82"/>
    </row>
    <row r="54" spans="1:34" x14ac:dyDescent="0.25">
      <c r="A54" s="24">
        <f t="shared" ca="1" si="23"/>
        <v>0.83907309884044656</v>
      </c>
      <c r="B54" s="51">
        <v>5</v>
      </c>
      <c r="C54" s="52"/>
      <c r="D54" s="53" t="e">
        <f>VLOOKUP(C54,Уч!$A$2:$K$25,2,FALSE)</f>
        <v>#N/A</v>
      </c>
      <c r="E54" s="54" t="e">
        <f>VLOOKUP(C54,Уч!$A$2:$K$25,3,FALSE)</f>
        <v>#N/A</v>
      </c>
      <c r="F54" s="135" t="e">
        <f>VLOOKUP(C54,Уч!$A$2:$K$25,5,FALSE)</f>
        <v>#N/A</v>
      </c>
      <c r="G54" s="56">
        <f t="shared" si="24"/>
        <v>0</v>
      </c>
      <c r="H54" s="136">
        <f t="shared" si="25"/>
        <v>0</v>
      </c>
      <c r="I54" s="58">
        <f t="shared" si="26"/>
        <v>0</v>
      </c>
      <c r="J54" s="39"/>
      <c r="K54" s="82"/>
    </row>
    <row r="55" spans="1:34" x14ac:dyDescent="0.25">
      <c r="A55" s="24">
        <f t="shared" ca="1" si="23"/>
        <v>0.85874077764121637</v>
      </c>
      <c r="B55" s="51">
        <v>6</v>
      </c>
      <c r="C55" s="81"/>
      <c r="D55" s="53" t="e">
        <f>VLOOKUP(C55,Уч!$A$2:$K$25,2,FALSE)</f>
        <v>#N/A</v>
      </c>
      <c r="E55" s="54" t="e">
        <f>VLOOKUP(C55,Уч!$A$2:$K$25,3,FALSE)</f>
        <v>#N/A</v>
      </c>
      <c r="F55" s="135" t="e">
        <f>VLOOKUP(C55,Уч!$A$2:$K$25,5,FALSE)</f>
        <v>#N/A</v>
      </c>
      <c r="G55" s="56">
        <f t="shared" si="24"/>
        <v>0</v>
      </c>
      <c r="H55" s="136">
        <f t="shared" si="25"/>
        <v>0</v>
      </c>
      <c r="I55" s="58">
        <f t="shared" si="26"/>
        <v>0</v>
      </c>
      <c r="J55" s="39"/>
      <c r="K55" s="82"/>
    </row>
    <row r="56" spans="1:34" x14ac:dyDescent="0.25">
      <c r="A56" s="24">
        <f t="shared" ca="1" si="23"/>
        <v>0.36433429410570328</v>
      </c>
      <c r="B56" s="51">
        <v>7</v>
      </c>
      <c r="C56" s="81"/>
      <c r="D56" s="53" t="e">
        <f>VLOOKUP(C56,Уч!$A$2:$K$25,2,FALSE)</f>
        <v>#N/A</v>
      </c>
      <c r="E56" s="54" t="e">
        <f>VLOOKUP(C56,Уч!$A$2:$K$25,3,FALSE)</f>
        <v>#N/A</v>
      </c>
      <c r="F56" s="135" t="e">
        <f>VLOOKUP(C56,Уч!$A$2:$K$25,5,FALSE)</f>
        <v>#N/A</v>
      </c>
      <c r="G56" s="56">
        <f t="shared" si="24"/>
        <v>0</v>
      </c>
      <c r="H56" s="136">
        <f t="shared" si="25"/>
        <v>0</v>
      </c>
      <c r="I56" s="58">
        <f t="shared" si="26"/>
        <v>0</v>
      </c>
      <c r="J56" s="39"/>
      <c r="K56" s="82"/>
    </row>
    <row r="57" spans="1:34" x14ac:dyDescent="0.25">
      <c r="A57" s="24">
        <f t="shared" ref="A57" ca="1" si="27">RAND()</f>
        <v>0.23017511634922905</v>
      </c>
      <c r="B57" s="51">
        <v>8</v>
      </c>
      <c r="C57" s="52"/>
      <c r="D57" s="53" t="e">
        <f>VLOOKUP(C57,Уч!$A$2:$K$25,2,FALSE)</f>
        <v>#N/A</v>
      </c>
      <c r="E57" s="54" t="e">
        <f>VLOOKUP(C57,Уч!$A$2:$K$25,3,FALSE)</f>
        <v>#N/A</v>
      </c>
      <c r="F57" s="135" t="e">
        <f>VLOOKUP(C57,Уч!$A$2:$K$25,5,FALSE)</f>
        <v>#N/A</v>
      </c>
      <c r="G57" s="56">
        <f t="shared" ref="G57" si="28">J57/100</f>
        <v>0</v>
      </c>
      <c r="H57" s="138"/>
      <c r="I57" s="58">
        <f t="shared" ref="I57" si="29">IF(J57&gt;4208,0,IF(J57=0,0,ROUNDDOWN(4.99087*(42.5-J57/100)^1.81,0)))</f>
        <v>0</v>
      </c>
      <c r="J57" s="39"/>
      <c r="K57" s="139"/>
      <c r="L57" s="37"/>
      <c r="M57" s="37"/>
    </row>
    <row r="58" spans="1:34" x14ac:dyDescent="0.25">
      <c r="B58" s="37"/>
      <c r="C58" s="48"/>
      <c r="E58" s="83"/>
      <c r="F58" s="75"/>
      <c r="G58" s="66"/>
      <c r="H58" s="140"/>
      <c r="I58" s="77"/>
      <c r="J58" s="39"/>
      <c r="K58" s="82"/>
    </row>
    <row r="59" spans="1:34" hidden="1" outlineLevel="1" x14ac:dyDescent="0.25">
      <c r="A59" s="37"/>
      <c r="B59" s="37"/>
      <c r="C59" s="48"/>
      <c r="D59" s="48" t="s">
        <v>21</v>
      </c>
      <c r="E59" s="83"/>
      <c r="F59" s="75"/>
      <c r="G59" s="66"/>
      <c r="H59" s="140"/>
      <c r="I59" s="77"/>
      <c r="J59" s="39"/>
      <c r="K59" s="82"/>
    </row>
    <row r="60" spans="1:34" hidden="1" outlineLevel="1" x14ac:dyDescent="0.25">
      <c r="A60" s="24">
        <f t="shared" ref="A60:A67" ca="1" si="30">RAND()</f>
        <v>0.92370618421014949</v>
      </c>
      <c r="B60" s="51">
        <v>1</v>
      </c>
      <c r="C60" s="79"/>
      <c r="D60" s="80" t="e">
        <f>VLOOKUP(C60,Уч!$A$2:$K$18,2,FALSE)</f>
        <v>#N/A</v>
      </c>
      <c r="E60" s="54" t="e">
        <f>VLOOKUP(C60,Уч!$A$2:$K$18,3,FALSE)</f>
        <v>#N/A</v>
      </c>
      <c r="F60" s="141" t="e">
        <f>VLOOKUP(C60,Уч!$A$2:$K$18,5,FALSE)</f>
        <v>#N/A</v>
      </c>
      <c r="G60" s="56">
        <f t="shared" ref="G60:G67" si="31">J60/100</f>
        <v>0</v>
      </c>
      <c r="H60" s="142"/>
      <c r="I60" s="58">
        <f t="shared" ref="I60:I65" si="32">IF(J60&gt;4208,0,IF(J60=0,0,ROUNDDOWN(4.99087*(42.5-J60/100)^1.81,0)))</f>
        <v>0</v>
      </c>
      <c r="J60" s="39"/>
      <c r="K60" s="82"/>
    </row>
    <row r="61" spans="1:34" hidden="1" outlineLevel="1" x14ac:dyDescent="0.25">
      <c r="A61" s="24">
        <f ca="1">RAND()</f>
        <v>3.5630872313501816E-2</v>
      </c>
      <c r="B61" s="51">
        <v>2</v>
      </c>
      <c r="C61" s="81">
        <v>80</v>
      </c>
      <c r="D61" s="82" t="e">
        <f>VLOOKUP(C61,Уч!$A$2:$K$18,2,FALSE)</f>
        <v>#N/A</v>
      </c>
      <c r="E61" s="62" t="e">
        <f>VLOOKUP(C61,Уч!$A$2:$K$18,3,FALSE)</f>
        <v>#N/A</v>
      </c>
      <c r="F61" s="85" t="e">
        <f>VLOOKUP(C61,Уч!$A$2:$K$18,5,FALSE)</f>
        <v>#N/A</v>
      </c>
      <c r="G61" s="56">
        <f>J61/100</f>
        <v>0</v>
      </c>
      <c r="H61" s="142">
        <f>K61/10</f>
        <v>0</v>
      </c>
      <c r="I61" s="58">
        <f t="shared" si="32"/>
        <v>0</v>
      </c>
      <c r="J61" s="39"/>
      <c r="K61" s="82"/>
    </row>
    <row r="62" spans="1:34" hidden="1" outlineLevel="1" x14ac:dyDescent="0.25">
      <c r="A62" s="24">
        <f ca="1">RAND()</f>
        <v>0.14829506958329619</v>
      </c>
      <c r="B62" s="51">
        <v>3</v>
      </c>
      <c r="C62" s="81">
        <v>152</v>
      </c>
      <c r="D62" s="82" t="e">
        <f>VLOOKUP(C62,Уч!$A$2:$K$18,2,FALSE)</f>
        <v>#N/A</v>
      </c>
      <c r="E62" s="62" t="e">
        <f>VLOOKUP(C62,Уч!$A$2:$K$18,3,FALSE)</f>
        <v>#N/A</v>
      </c>
      <c r="F62" s="85" t="e">
        <f>VLOOKUP(C62,Уч!$A$2:$K$18,5,FALSE)</f>
        <v>#N/A</v>
      </c>
      <c r="G62" s="56">
        <f>J62/100</f>
        <v>0</v>
      </c>
      <c r="H62" s="142">
        <f t="shared" ref="H62:H65" si="33">K62/10</f>
        <v>0</v>
      </c>
      <c r="I62" s="58">
        <f t="shared" si="32"/>
        <v>0</v>
      </c>
      <c r="J62" s="39"/>
      <c r="K62" s="82"/>
    </row>
    <row r="63" spans="1:34" hidden="1" outlineLevel="1" x14ac:dyDescent="0.25">
      <c r="A63" s="24">
        <f ca="1">RAND()</f>
        <v>0.25371038334476637</v>
      </c>
      <c r="B63" s="51">
        <v>4</v>
      </c>
      <c r="C63" s="81">
        <v>84</v>
      </c>
      <c r="D63" s="82" t="e">
        <f>VLOOKUP(C63,Уч!$A$2:$K$18,2,FALSE)</f>
        <v>#N/A</v>
      </c>
      <c r="E63" s="62" t="e">
        <f>VLOOKUP(C63,Уч!$A$2:$K$18,3,FALSE)</f>
        <v>#N/A</v>
      </c>
      <c r="F63" s="85" t="e">
        <f>VLOOKUP(C63,Уч!$A$2:$K$18,5,FALSE)</f>
        <v>#N/A</v>
      </c>
      <c r="G63" s="56">
        <f>J63/100</f>
        <v>0</v>
      </c>
      <c r="H63" s="142">
        <f t="shared" si="33"/>
        <v>0</v>
      </c>
      <c r="I63" s="58">
        <f t="shared" si="32"/>
        <v>0</v>
      </c>
      <c r="J63" s="39"/>
      <c r="K63" s="82"/>
    </row>
    <row r="64" spans="1:34" hidden="1" outlineLevel="1" x14ac:dyDescent="0.25">
      <c r="A64" s="24">
        <f ca="1">RAND()</f>
        <v>0.41376126704175709</v>
      </c>
      <c r="B64" s="51">
        <v>5</v>
      </c>
      <c r="C64" s="81">
        <v>503</v>
      </c>
      <c r="D64" s="82" t="e">
        <f>VLOOKUP(C64,Уч!$A$2:$K$18,2,FALSE)</f>
        <v>#N/A</v>
      </c>
      <c r="E64" s="62" t="e">
        <f>VLOOKUP(C64,Уч!$A$2:$K$18,3,FALSE)</f>
        <v>#N/A</v>
      </c>
      <c r="F64" s="85" t="e">
        <f>VLOOKUP(C64,Уч!$A$2:$K$18,5,FALSE)</f>
        <v>#N/A</v>
      </c>
      <c r="G64" s="56">
        <f>J64/100</f>
        <v>0</v>
      </c>
      <c r="H64" s="142">
        <f t="shared" si="33"/>
        <v>0</v>
      </c>
      <c r="I64" s="58">
        <f t="shared" si="32"/>
        <v>0</v>
      </c>
      <c r="J64" s="39"/>
      <c r="K64" s="82"/>
    </row>
    <row r="65" spans="1:11" hidden="1" outlineLevel="1" x14ac:dyDescent="0.25">
      <c r="A65" s="24">
        <f ca="1">RAND()</f>
        <v>0.76331240192157657</v>
      </c>
      <c r="B65" s="51">
        <v>6</v>
      </c>
      <c r="C65" s="81">
        <v>83</v>
      </c>
      <c r="D65" s="82" t="e">
        <f>VLOOKUP(C65,Уч!$A$2:$K$18,2,FALSE)</f>
        <v>#N/A</v>
      </c>
      <c r="E65" s="62" t="e">
        <f>VLOOKUP(C65,Уч!$A$2:$K$18,3,FALSE)</f>
        <v>#N/A</v>
      </c>
      <c r="F65" s="85" t="e">
        <f>VLOOKUP(C65,Уч!$A$2:$K$18,5,FALSE)</f>
        <v>#N/A</v>
      </c>
      <c r="G65" s="56">
        <f>J65/100</f>
        <v>0</v>
      </c>
      <c r="H65" s="142">
        <f t="shared" si="33"/>
        <v>0</v>
      </c>
      <c r="I65" s="58">
        <f t="shared" si="32"/>
        <v>0</v>
      </c>
      <c r="J65" s="39"/>
      <c r="K65" s="82"/>
    </row>
    <row r="66" spans="1:11" hidden="1" outlineLevel="1" x14ac:dyDescent="0.25">
      <c r="A66" s="24">
        <f t="shared" ca="1" si="30"/>
        <v>4.1113979838790837E-2</v>
      </c>
      <c r="B66" s="51">
        <v>7</v>
      </c>
      <c r="C66" s="79"/>
      <c r="D66" s="80" t="e">
        <f>VLOOKUP(C66,Уч!$A$2:$K$18,2,FALSE)</f>
        <v>#N/A</v>
      </c>
      <c r="E66" s="54" t="e">
        <f>VLOOKUP(C66,Уч!$A$2:$K$18,3,FALSE)</f>
        <v>#N/A</v>
      </c>
      <c r="F66" s="141" t="e">
        <f>VLOOKUP(C66,Уч!$A$2:$K$18,5,FALSE)</f>
        <v>#N/A</v>
      </c>
      <c r="G66" s="56">
        <f t="shared" si="31"/>
        <v>0</v>
      </c>
      <c r="H66" s="142"/>
      <c r="I66" s="58">
        <f t="shared" ref="I66:I67" si="34">IF(J66&gt;4208,0,IF(J66=0,0,ROUNDDOWN(4.99087*(42.5-J66/100)^1.81,0)))</f>
        <v>0</v>
      </c>
      <c r="J66" s="39"/>
      <c r="K66" s="82"/>
    </row>
    <row r="67" spans="1:11" hidden="1" outlineLevel="1" x14ac:dyDescent="0.25">
      <c r="A67" s="24">
        <f t="shared" ca="1" si="30"/>
        <v>0.7771786333406604</v>
      </c>
      <c r="B67" s="51">
        <v>8</v>
      </c>
      <c r="C67" s="64"/>
      <c r="D67" s="80" t="e">
        <f>VLOOKUP(C67,Уч!$A$2:$K$18,2,FALSE)</f>
        <v>#N/A</v>
      </c>
      <c r="E67" s="54" t="e">
        <f>VLOOKUP(C67,Уч!$A$2:$K$18,3,FALSE)</f>
        <v>#N/A</v>
      </c>
      <c r="F67" s="141" t="e">
        <f>VLOOKUP(C67,Уч!$A$2:$K$18,5,FALSE)</f>
        <v>#N/A</v>
      </c>
      <c r="G67" s="56">
        <f t="shared" si="31"/>
        <v>0</v>
      </c>
      <c r="H67" s="142"/>
      <c r="I67" s="58">
        <f t="shared" si="34"/>
        <v>0</v>
      </c>
      <c r="J67" s="39"/>
      <c r="K67" s="82"/>
    </row>
    <row r="68" spans="1:11" collapsed="1" x14ac:dyDescent="0.25">
      <c r="B68" s="37"/>
      <c r="C68" s="24"/>
      <c r="E68" s="83"/>
      <c r="F68" s="75"/>
      <c r="G68" s="48"/>
      <c r="J68" s="39"/>
      <c r="K68" s="82"/>
    </row>
    <row r="69" spans="1:11" x14ac:dyDescent="0.25">
      <c r="J69" s="39"/>
      <c r="K69" s="82"/>
    </row>
    <row r="70" spans="1:11" x14ac:dyDescent="0.25">
      <c r="C70" s="24"/>
    </row>
    <row r="72" spans="1:11" x14ac:dyDescent="0.25">
      <c r="C72" s="24"/>
    </row>
    <row r="73" spans="1:11" x14ac:dyDescent="0.25">
      <c r="A73" s="24">
        <f ca="1">RAND()</f>
        <v>0.1668817532903093</v>
      </c>
    </row>
    <row r="74" spans="1:11" x14ac:dyDescent="0.25">
      <c r="A74" s="24">
        <f t="shared" ref="A74:A104" ca="1" si="35">RAND()</f>
        <v>0.75209341217967451</v>
      </c>
    </row>
    <row r="75" spans="1:11" x14ac:dyDescent="0.25">
      <c r="A75" s="24">
        <f t="shared" ca="1" si="35"/>
        <v>0.26387355854178574</v>
      </c>
    </row>
    <row r="76" spans="1:11" x14ac:dyDescent="0.25">
      <c r="A76" s="24">
        <f t="shared" ca="1" si="35"/>
        <v>0.88370923953325486</v>
      </c>
    </row>
    <row r="77" spans="1:11" x14ac:dyDescent="0.25">
      <c r="A77" s="24">
        <f t="shared" ca="1" si="35"/>
        <v>0.33072054902348058</v>
      </c>
    </row>
    <row r="78" spans="1:11" x14ac:dyDescent="0.25">
      <c r="A78" s="24">
        <f t="shared" ca="1" si="35"/>
        <v>0.74865374614784941</v>
      </c>
    </row>
    <row r="79" spans="1:11" x14ac:dyDescent="0.25">
      <c r="A79" s="24">
        <f t="shared" ca="1" si="35"/>
        <v>0.34617218550709561</v>
      </c>
    </row>
    <row r="80" spans="1:11" x14ac:dyDescent="0.25">
      <c r="A80" s="24">
        <f t="shared" ca="1" si="35"/>
        <v>0.45690176200995503</v>
      </c>
    </row>
    <row r="81" spans="1:1" x14ac:dyDescent="0.25">
      <c r="A81" s="24">
        <f t="shared" ca="1" si="35"/>
        <v>0.44790640196252884</v>
      </c>
    </row>
    <row r="82" spans="1:1" x14ac:dyDescent="0.25">
      <c r="A82" s="24">
        <f t="shared" ca="1" si="35"/>
        <v>0.56385590520165685</v>
      </c>
    </row>
    <row r="83" spans="1:1" x14ac:dyDescent="0.25">
      <c r="A83" s="24">
        <f t="shared" ca="1" si="35"/>
        <v>0.29333785740914264</v>
      </c>
    </row>
    <row r="84" spans="1:1" x14ac:dyDescent="0.25">
      <c r="A84" s="24">
        <f t="shared" ca="1" si="35"/>
        <v>0.99150405795557894</v>
      </c>
    </row>
    <row r="85" spans="1:1" x14ac:dyDescent="0.25">
      <c r="A85" s="24">
        <f t="shared" ca="1" si="35"/>
        <v>0.76764033780103891</v>
      </c>
    </row>
    <row r="86" spans="1:1" x14ac:dyDescent="0.25">
      <c r="A86" s="24">
        <f t="shared" ca="1" si="35"/>
        <v>0.34680068468364988</v>
      </c>
    </row>
    <row r="87" spans="1:1" x14ac:dyDescent="0.25">
      <c r="A87" s="24">
        <f t="shared" ca="1" si="35"/>
        <v>0.8743986327489065</v>
      </c>
    </row>
    <row r="88" spans="1:1" x14ac:dyDescent="0.25">
      <c r="A88" s="24">
        <f t="shared" ca="1" si="35"/>
        <v>0.31509019788513903</v>
      </c>
    </row>
    <row r="89" spans="1:1" x14ac:dyDescent="0.25">
      <c r="A89" s="24">
        <f ca="1">RAND()</f>
        <v>0.52840353266572315</v>
      </c>
    </row>
    <row r="90" spans="1:1" x14ac:dyDescent="0.25">
      <c r="A90" s="24">
        <f t="shared" ca="1" si="35"/>
        <v>0.47943692735242793</v>
      </c>
    </row>
    <row r="91" spans="1:1" x14ac:dyDescent="0.25">
      <c r="A91" s="24">
        <f t="shared" ca="1" si="35"/>
        <v>0.62394996356109889</v>
      </c>
    </row>
    <row r="92" spans="1:1" x14ac:dyDescent="0.25">
      <c r="A92" s="24">
        <f t="shared" ca="1" si="35"/>
        <v>0.58611759067211044</v>
      </c>
    </row>
    <row r="93" spans="1:1" x14ac:dyDescent="0.25">
      <c r="A93" s="24">
        <f t="shared" ca="1" si="35"/>
        <v>0.78602318021205397</v>
      </c>
    </row>
    <row r="94" spans="1:1" x14ac:dyDescent="0.25">
      <c r="A94" s="24">
        <f t="shared" ca="1" si="35"/>
        <v>0.47479843077699235</v>
      </c>
    </row>
    <row r="95" spans="1:1" x14ac:dyDescent="0.25">
      <c r="A95" s="24">
        <f t="shared" ca="1" si="35"/>
        <v>0.10335267264291015</v>
      </c>
    </row>
    <row r="96" spans="1:1" x14ac:dyDescent="0.25">
      <c r="A96" s="24">
        <f t="shared" ca="1" si="35"/>
        <v>0.29841546533274255</v>
      </c>
    </row>
    <row r="97" spans="1:1" x14ac:dyDescent="0.25">
      <c r="A97" s="24">
        <f t="shared" ca="1" si="35"/>
        <v>0.27947468327015534</v>
      </c>
    </row>
    <row r="98" spans="1:1" x14ac:dyDescent="0.25">
      <c r="A98" s="24">
        <f t="shared" ca="1" si="35"/>
        <v>0.39944825200401934</v>
      </c>
    </row>
    <row r="99" spans="1:1" x14ac:dyDescent="0.25">
      <c r="A99" s="24">
        <f t="shared" ca="1" si="35"/>
        <v>0.53049107940886187</v>
      </c>
    </row>
    <row r="100" spans="1:1" x14ac:dyDescent="0.25">
      <c r="A100" s="24">
        <f t="shared" ca="1" si="35"/>
        <v>0.73117626830182469</v>
      </c>
    </row>
    <row r="101" spans="1:1" x14ac:dyDescent="0.25">
      <c r="A101" s="24">
        <f t="shared" ca="1" si="35"/>
        <v>0.52796083282256423</v>
      </c>
    </row>
    <row r="102" spans="1:1" x14ac:dyDescent="0.25">
      <c r="A102" s="24">
        <f t="shared" ca="1" si="35"/>
        <v>0.25791005315680027</v>
      </c>
    </row>
    <row r="103" spans="1:1" x14ac:dyDescent="0.25">
      <c r="A103" s="24">
        <f t="shared" ca="1" si="35"/>
        <v>0.97000190970183198</v>
      </c>
    </row>
    <row r="104" spans="1:1" x14ac:dyDescent="0.25">
      <c r="A104" s="24">
        <f t="shared" ca="1" si="35"/>
        <v>0.18661958013711966</v>
      </c>
    </row>
  </sheetData>
  <sortState ref="A38:AH43">
    <sortCondition ref="A38:A43"/>
  </sortState>
  <mergeCells count="7">
    <mergeCell ref="B7:H7"/>
    <mergeCell ref="B1:H1"/>
    <mergeCell ref="B2:H2"/>
    <mergeCell ref="B3:H3"/>
    <mergeCell ref="B4:H4"/>
    <mergeCell ref="B5:H5"/>
    <mergeCell ref="B6:H6"/>
  </mergeCells>
  <phoneticPr fontId="0" type="noConversion"/>
  <printOptions horizontalCentered="1"/>
  <pageMargins left="0.78740157480314965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AA36"/>
  <sheetViews>
    <sheetView view="pageBreakPreview" zoomScaleSheetLayoutView="100" workbookViewId="0">
      <selection activeCell="I25" sqref="I25"/>
    </sheetView>
  </sheetViews>
  <sheetFormatPr defaultColWidth="9.109375" defaultRowHeight="13.2" outlineLevelRow="1" outlineLevelCol="1" x14ac:dyDescent="0.25"/>
  <cols>
    <col min="1" max="1" width="13.33203125" style="24" customWidth="1" outlineLevel="1"/>
    <col min="2" max="2" width="6.33203125" style="24" customWidth="1"/>
    <col min="3" max="3" width="8" style="37" customWidth="1"/>
    <col min="4" max="4" width="22.109375" style="24" bestFit="1" customWidth="1"/>
    <col min="5" max="5" width="10.109375" style="37" customWidth="1" outlineLevel="1"/>
    <col min="6" max="6" width="19" style="24" customWidth="1" outlineLevel="1"/>
    <col min="7" max="7" width="7.6640625" style="37" customWidth="1" outlineLevel="1"/>
    <col min="8" max="8" width="6.5546875" style="37" customWidth="1" outlineLevel="1"/>
    <col min="9" max="9" width="7.6640625" style="37" customWidth="1" outlineLevel="1"/>
    <col min="10" max="10" width="7" style="37" customWidth="1" outlineLevel="1"/>
    <col min="11" max="11" width="7.6640625" style="24" customWidth="1" outlineLevel="1"/>
    <col min="12" max="12" width="6.88671875" style="24" customWidth="1" outlineLevel="1"/>
    <col min="13" max="13" width="9.6640625" style="24" customWidth="1"/>
    <col min="14" max="14" width="6.6640625" style="24" customWidth="1"/>
    <col min="15" max="15" width="7.6640625" style="38" customWidth="1"/>
    <col min="16" max="16" width="5.6640625" style="38" customWidth="1"/>
    <col min="17" max="17" width="4.6640625" style="159" customWidth="1" outlineLevel="1"/>
    <col min="18" max="18" width="4.6640625" style="160" customWidth="1" outlineLevel="1"/>
    <col min="19" max="19" width="4.6640625" style="159" customWidth="1" outlineLevel="1"/>
    <col min="20" max="20" width="4.33203125" style="160" customWidth="1" outlineLevel="1"/>
    <col min="21" max="21" width="4.6640625" style="37" customWidth="1" outlineLevel="1"/>
    <col min="22" max="22" width="4.6640625" style="160" customWidth="1" outlineLevel="1"/>
    <col min="23" max="23" width="8" style="24" bestFit="1" customWidth="1" outlineLevel="1"/>
    <col min="24" max="24" width="9.109375" style="37" outlineLevel="1"/>
    <col min="25" max="16384" width="9.109375" style="24"/>
  </cols>
  <sheetData>
    <row r="1" spans="1:24" ht="13.2" customHeight="1" x14ac:dyDescent="0.25">
      <c r="B1" s="437" t="str">
        <f>Расп!A21</f>
        <v>МИНИСТЕРСТВО СПОРТА РОССИЙСКОЙ ФЕДЕРАЦИИ</v>
      </c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Q1" s="119"/>
      <c r="R1" s="78"/>
      <c r="S1" s="119"/>
      <c r="T1" s="78"/>
      <c r="U1" s="40"/>
      <c r="V1" s="78"/>
      <c r="W1" s="39"/>
      <c r="X1" s="40"/>
    </row>
    <row r="2" spans="1:24" ht="13.2" customHeight="1" x14ac:dyDescent="0.25">
      <c r="B2" s="437" t="str">
        <f>Расп!A22</f>
        <v>ВСЕРОССИЙСКАЯ ФЕДЕРАЦИЯ ЛЕГКОЙ АТЛЕТИКИ</v>
      </c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Q2" s="119"/>
      <c r="R2" s="78"/>
      <c r="S2" s="119"/>
      <c r="T2" s="78"/>
      <c r="U2" s="40"/>
      <c r="V2" s="78"/>
      <c r="W2" s="39"/>
      <c r="X2" s="40"/>
    </row>
    <row r="3" spans="1:24" ht="13.2" customHeight="1" x14ac:dyDescent="0.25">
      <c r="B3" s="437" t="str">
        <f>Расп!A25</f>
        <v>Командный чемпионат России</v>
      </c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Q3" s="119"/>
      <c r="R3" s="78"/>
      <c r="S3" s="119"/>
      <c r="T3" s="78"/>
      <c r="U3" s="40"/>
      <c r="V3" s="78"/>
      <c r="W3" s="39"/>
      <c r="X3" s="40"/>
    </row>
    <row r="4" spans="1:24" ht="13.2" customHeight="1" x14ac:dyDescent="0.25">
      <c r="B4" s="437" t="str">
        <f>Расп!A27</f>
        <v>по многоборью</v>
      </c>
      <c r="C4" s="437"/>
      <c r="D4" s="437"/>
      <c r="E4" s="437"/>
      <c r="F4" s="437"/>
      <c r="G4" s="437"/>
      <c r="H4" s="437"/>
      <c r="I4" s="437"/>
      <c r="J4" s="437"/>
      <c r="K4" s="437"/>
      <c r="L4" s="437"/>
      <c r="M4" s="437"/>
      <c r="N4" s="437"/>
      <c r="Q4" s="119"/>
      <c r="R4" s="78"/>
      <c r="S4" s="119"/>
      <c r="T4" s="78"/>
      <c r="U4" s="40"/>
      <c r="V4" s="78"/>
      <c r="W4" s="39"/>
      <c r="X4" s="40"/>
    </row>
    <row r="5" spans="1:24" ht="13.2" customHeight="1" x14ac:dyDescent="0.25">
      <c r="B5" s="432" t="str">
        <f>Расп!B13</f>
        <v>Женщины</v>
      </c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2"/>
      <c r="N5" s="432"/>
      <c r="Q5" s="119"/>
      <c r="R5" s="78"/>
      <c r="S5" s="119"/>
      <c r="T5" s="78"/>
      <c r="U5" s="40"/>
      <c r="V5" s="78"/>
      <c r="W5" s="39"/>
      <c r="X5" s="40"/>
    </row>
    <row r="6" spans="1:24" ht="13.2" customHeight="1" x14ac:dyDescent="0.25">
      <c r="B6" s="438" t="s">
        <v>12</v>
      </c>
      <c r="C6" s="438"/>
      <c r="D6" s="438"/>
      <c r="E6" s="438"/>
      <c r="F6" s="438"/>
      <c r="G6" s="438"/>
      <c r="H6" s="438"/>
      <c r="I6" s="438"/>
      <c r="J6" s="438"/>
      <c r="K6" s="438"/>
      <c r="L6" s="438"/>
      <c r="M6" s="438"/>
      <c r="N6" s="438"/>
      <c r="Q6" s="119"/>
      <c r="R6" s="78"/>
      <c r="S6" s="119"/>
      <c r="T6" s="78"/>
      <c r="U6" s="40"/>
      <c r="V6" s="78"/>
      <c r="W6" s="39"/>
      <c r="X6" s="40"/>
    </row>
    <row r="7" spans="1:24" ht="13.2" customHeight="1" x14ac:dyDescent="0.3">
      <c r="B7" s="436" t="str">
        <f>Расп!A7</f>
        <v>прыжок в длину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Q7" s="119"/>
      <c r="R7" s="78"/>
      <c r="S7" s="119"/>
      <c r="T7" s="78"/>
      <c r="U7" s="40"/>
      <c r="V7" s="78"/>
      <c r="W7" s="39"/>
      <c r="X7" s="40"/>
    </row>
    <row r="8" spans="1:24" ht="13.2" hidden="1" customHeight="1" x14ac:dyDescent="0.3">
      <c r="C8" s="45"/>
      <c r="D8" s="37"/>
      <c r="G8" s="41"/>
      <c r="H8" s="143"/>
      <c r="Q8" s="119"/>
      <c r="R8" s="78"/>
      <c r="S8" s="119"/>
      <c r="T8" s="78"/>
      <c r="U8" s="40"/>
      <c r="V8" s="78"/>
      <c r="W8" s="39"/>
      <c r="X8" s="40"/>
    </row>
    <row r="9" spans="1:24" ht="13.2" hidden="1" customHeight="1" x14ac:dyDescent="0.25">
      <c r="C9" s="42"/>
      <c r="D9" s="21"/>
      <c r="G9" s="143"/>
      <c r="I9" s="41"/>
      <c r="J9" s="91"/>
      <c r="K9" s="36"/>
      <c r="L9" s="36"/>
      <c r="M9" s="36"/>
      <c r="Q9" s="119"/>
      <c r="R9" s="78"/>
      <c r="S9" s="119"/>
      <c r="T9" s="78"/>
      <c r="U9" s="40"/>
      <c r="V9" s="78"/>
      <c r="W9" s="43" t="s">
        <v>22</v>
      </c>
      <c r="X9" s="40"/>
    </row>
    <row r="10" spans="1:24" ht="13.2" customHeight="1" outlineLevel="1" x14ac:dyDescent="0.3">
      <c r="B10" s="188" t="str">
        <f>Расп!A6</f>
        <v>19.05.2019 г.</v>
      </c>
      <c r="C10" s="44"/>
      <c r="D10" s="37"/>
      <c r="F10" s="45"/>
      <c r="M10" s="89" t="str">
        <f>Расп!B1</f>
        <v>Начало:</v>
      </c>
      <c r="N10" s="190">
        <f>Расп!B7</f>
        <v>0.41666666666666669</v>
      </c>
      <c r="Q10" s="119"/>
      <c r="R10" s="78"/>
      <c r="S10" s="119"/>
      <c r="T10" s="78"/>
      <c r="U10" s="40"/>
      <c r="V10" s="78"/>
      <c r="W10" s="43" t="s">
        <v>23</v>
      </c>
      <c r="X10" s="40"/>
    </row>
    <row r="11" spans="1:24" ht="13.2" customHeight="1" x14ac:dyDescent="0.3">
      <c r="B11" s="24" t="str">
        <f>Расп!A26</f>
        <v>г.Сочи, Адлерский район, стадион "Юность"</v>
      </c>
      <c r="C11" s="44"/>
      <c r="D11" s="37"/>
      <c r="G11" s="45"/>
      <c r="H11" s="24"/>
      <c r="M11" s="89" t="str">
        <f>Расп!C1</f>
        <v>Окончание:</v>
      </c>
      <c r="Q11" s="119"/>
      <c r="R11" s="78"/>
      <c r="S11" s="119"/>
      <c r="T11" s="78"/>
      <c r="U11" s="40"/>
      <c r="V11" s="78"/>
      <c r="W11" s="43" t="s">
        <v>24</v>
      </c>
      <c r="X11" s="40"/>
    </row>
    <row r="12" spans="1:24" ht="13.2" hidden="1" customHeight="1" outlineLevel="1" x14ac:dyDescent="0.3">
      <c r="C12" s="44" t="s">
        <v>11</v>
      </c>
      <c r="D12" s="37"/>
      <c r="G12" s="45" t="str">
        <f>Расп!A7</f>
        <v>прыжок в длину</v>
      </c>
      <c r="H12" s="24"/>
      <c r="Q12" s="119"/>
      <c r="R12" s="78"/>
      <c r="S12" s="119"/>
      <c r="T12" s="78"/>
      <c r="U12" s="40"/>
      <c r="V12" s="78"/>
      <c r="W12" s="39"/>
      <c r="X12" s="40"/>
    </row>
    <row r="13" spans="1:24" ht="13.2" hidden="1" customHeight="1" outlineLevel="1" x14ac:dyDescent="0.3">
      <c r="C13" s="44"/>
      <c r="D13" s="37"/>
      <c r="G13" s="45"/>
      <c r="H13" s="24"/>
      <c r="Q13" s="119"/>
      <c r="R13" s="78"/>
      <c r="S13" s="119"/>
      <c r="T13" s="78"/>
      <c r="U13" s="40"/>
      <c r="V13" s="78"/>
      <c r="W13" s="39"/>
      <c r="X13" s="40"/>
    </row>
    <row r="14" spans="1:24" s="48" customFormat="1" ht="20.399999999999999" customHeight="1" collapsed="1" x14ac:dyDescent="0.25">
      <c r="A14" s="144" t="s">
        <v>37</v>
      </c>
      <c r="B14" s="199" t="s">
        <v>117</v>
      </c>
      <c r="C14" s="193" t="s">
        <v>113</v>
      </c>
      <c r="D14" s="193" t="s">
        <v>114</v>
      </c>
      <c r="E14" s="193" t="s">
        <v>115</v>
      </c>
      <c r="F14" s="199" t="s">
        <v>116</v>
      </c>
      <c r="G14" s="130">
        <v>1</v>
      </c>
      <c r="H14" s="130" t="s">
        <v>25</v>
      </c>
      <c r="I14" s="130">
        <v>2</v>
      </c>
      <c r="J14" s="130" t="s">
        <v>25</v>
      </c>
      <c r="K14" s="130">
        <v>3</v>
      </c>
      <c r="L14" s="130" t="s">
        <v>25</v>
      </c>
      <c r="M14" s="130" t="s">
        <v>18</v>
      </c>
      <c r="N14" s="130" t="s">
        <v>25</v>
      </c>
      <c r="O14" s="108" t="s">
        <v>29</v>
      </c>
      <c r="P14" s="49"/>
      <c r="Q14" s="145" t="s">
        <v>31</v>
      </c>
      <c r="R14" s="146" t="s">
        <v>34</v>
      </c>
      <c r="S14" s="145" t="s">
        <v>32</v>
      </c>
      <c r="T14" s="146" t="s">
        <v>35</v>
      </c>
      <c r="U14" s="43" t="s">
        <v>33</v>
      </c>
      <c r="V14" s="146" t="s">
        <v>36</v>
      </c>
      <c r="W14" s="43" t="s">
        <v>28</v>
      </c>
      <c r="X14" s="43" t="s">
        <v>25</v>
      </c>
    </row>
    <row r="15" spans="1:24" s="48" customFormat="1" ht="13.2" hidden="1" customHeight="1" x14ac:dyDescent="0.25"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9"/>
      <c r="P15" s="49"/>
      <c r="Q15" s="145"/>
      <c r="R15" s="146"/>
      <c r="S15" s="145"/>
      <c r="T15" s="146"/>
      <c r="U15" s="43"/>
      <c r="V15" s="146"/>
      <c r="W15" s="43"/>
      <c r="X15" s="43"/>
    </row>
    <row r="16" spans="1:24" s="48" customFormat="1" ht="13.2" hidden="1" customHeight="1" x14ac:dyDescent="0.25">
      <c r="B16" s="46"/>
      <c r="C16" s="46"/>
      <c r="D16" s="46" t="s">
        <v>38</v>
      </c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9"/>
      <c r="P16" s="49"/>
      <c r="Q16" s="145"/>
      <c r="R16" s="146"/>
      <c r="S16" s="145"/>
      <c r="T16" s="146"/>
      <c r="U16" s="43"/>
      <c r="V16" s="146"/>
      <c r="W16" s="43"/>
      <c r="X16" s="43"/>
    </row>
    <row r="17" spans="1:27" s="131" customFormat="1" ht="13.2" customHeight="1" x14ac:dyDescent="0.25">
      <c r="A17" s="147">
        <f t="shared" ref="A17:A29" ca="1" si="0">RAND()</f>
        <v>0.95826888213678563</v>
      </c>
      <c r="B17" s="52">
        <v>1</v>
      </c>
      <c r="C17" s="52">
        <v>13</v>
      </c>
      <c r="D17" s="115" t="e">
        <f>VLOOKUP(C17,Уч!$A$2:$K$25,2,FALSE)</f>
        <v>#N/A</v>
      </c>
      <c r="E17" s="116" t="e">
        <f>VLOOKUP(C17,Уч!$A$2:$K$25,3,FALSE)</f>
        <v>#N/A</v>
      </c>
      <c r="F17" s="120" t="e">
        <f>VLOOKUP(C17,Уч!$A$2:$K$25,5,FALSE)</f>
        <v>#N/A</v>
      </c>
      <c r="G17" s="356">
        <f t="shared" ref="G17:G29" si="1">IF(Q17=0,"X",Q17/100)</f>
        <v>4.87</v>
      </c>
      <c r="H17" s="391">
        <f t="shared" ref="H17:H29" si="2">R17/10</f>
        <v>0.3</v>
      </c>
      <c r="I17" s="356" t="str">
        <f t="shared" ref="I17:I29" si="3">IF(S17=0,"X",S17/100)</f>
        <v>X</v>
      </c>
      <c r="J17" s="391">
        <f t="shared" ref="J17:J29" si="4">T17/10</f>
        <v>0</v>
      </c>
      <c r="K17" s="356" t="str">
        <f t="shared" ref="K17:K29" si="5">IF(U17=0,"X",U17/100)</f>
        <v>X</v>
      </c>
      <c r="L17" s="391">
        <f t="shared" ref="L17:L29" si="6">V17/10</f>
        <v>0</v>
      </c>
      <c r="M17" s="361">
        <f t="shared" ref="M17:M29" si="7">MAX(Q17,S17,U17)/100</f>
        <v>4.87</v>
      </c>
      <c r="N17" s="392">
        <f t="shared" ref="N17:N29" si="8">X17/10</f>
        <v>0.3</v>
      </c>
      <c r="O17" s="151">
        <f t="shared" ref="O17:O29" si="9">IF(W17&lt;216,0,IF(W17=0,0,ROUNDDOWN(0.188807*(W17-210)^1.41,0)))</f>
        <v>524</v>
      </c>
      <c r="P17" s="152"/>
      <c r="Q17" s="153">
        <v>487</v>
      </c>
      <c r="R17" s="154">
        <v>3</v>
      </c>
      <c r="S17" s="153"/>
      <c r="T17" s="154"/>
      <c r="U17" s="153"/>
      <c r="V17" s="154"/>
      <c r="W17" s="155">
        <f t="shared" ref="W17:W29" si="10">Q17</f>
        <v>487</v>
      </c>
      <c r="X17" s="156">
        <f t="shared" ref="X17:X29" si="11">R17</f>
        <v>3</v>
      </c>
      <c r="Y17" s="24"/>
      <c r="Z17" s="24"/>
      <c r="AA17" s="24"/>
    </row>
    <row r="18" spans="1:27" s="123" customFormat="1" ht="13.2" customHeight="1" x14ac:dyDescent="0.25">
      <c r="A18" s="148">
        <f t="shared" ca="1" si="0"/>
        <v>0.89767994894873837</v>
      </c>
      <c r="B18" s="52">
        <v>2</v>
      </c>
      <c r="C18" s="52">
        <v>19</v>
      </c>
      <c r="D18" s="115" t="e">
        <f>VLOOKUP(C18,Уч!$A$2:$K$25,2,FALSE)</f>
        <v>#N/A</v>
      </c>
      <c r="E18" s="116" t="e">
        <f>VLOOKUP(C18,Уч!$A$2:$K$25,3,FALSE)</f>
        <v>#N/A</v>
      </c>
      <c r="F18" s="120" t="e">
        <f>VLOOKUP(C18,Уч!$A$2:$K$25,5,FALSE)</f>
        <v>#N/A</v>
      </c>
      <c r="G18" s="356">
        <f t="shared" si="1"/>
        <v>5.83</v>
      </c>
      <c r="H18" s="391">
        <f t="shared" si="2"/>
        <v>0.2</v>
      </c>
      <c r="I18" s="356" t="str">
        <f t="shared" si="3"/>
        <v>X</v>
      </c>
      <c r="J18" s="391">
        <f t="shared" si="4"/>
        <v>0</v>
      </c>
      <c r="K18" s="356" t="str">
        <f t="shared" si="5"/>
        <v>X</v>
      </c>
      <c r="L18" s="391">
        <f t="shared" si="6"/>
        <v>0</v>
      </c>
      <c r="M18" s="361">
        <f t="shared" si="7"/>
        <v>5.83</v>
      </c>
      <c r="N18" s="392">
        <f t="shared" si="8"/>
        <v>0.2</v>
      </c>
      <c r="O18" s="151">
        <f t="shared" si="9"/>
        <v>798</v>
      </c>
      <c r="P18" s="152"/>
      <c r="Q18" s="153">
        <v>583</v>
      </c>
      <c r="R18" s="154">
        <v>2</v>
      </c>
      <c r="S18" s="153"/>
      <c r="T18" s="154"/>
      <c r="U18" s="153"/>
      <c r="V18" s="154"/>
      <c r="W18" s="155">
        <f t="shared" si="10"/>
        <v>583</v>
      </c>
      <c r="X18" s="156">
        <f t="shared" si="11"/>
        <v>2</v>
      </c>
      <c r="Y18" s="24"/>
      <c r="Z18" s="24"/>
      <c r="AA18" s="24"/>
    </row>
    <row r="19" spans="1:27" s="123" customFormat="1" ht="13.2" customHeight="1" x14ac:dyDescent="0.25">
      <c r="A19" s="147">
        <f t="shared" ca="1" si="0"/>
        <v>0.92886226674406158</v>
      </c>
      <c r="B19" s="52">
        <v>3</v>
      </c>
      <c r="C19" s="52">
        <v>64</v>
      </c>
      <c r="D19" s="115" t="str">
        <f>VLOOKUP(C19,Уч!$A$2:$K$25,2,FALSE)</f>
        <v>Дерган Евгения</v>
      </c>
      <c r="E19" s="116" t="str">
        <f>VLOOKUP(C19,Уч!$A$2:$K$25,3,FALSE)</f>
        <v>11.04.1994</v>
      </c>
      <c r="F19" s="120" t="str">
        <f>VLOOKUP(C19,Уч!$A$2:$K$25,5,FALSE)</f>
        <v xml:space="preserve">Республика Адыгея  </v>
      </c>
      <c r="G19" s="356">
        <f t="shared" si="1"/>
        <v>5.3</v>
      </c>
      <c r="H19" s="391">
        <f t="shared" si="2"/>
        <v>-0.1</v>
      </c>
      <c r="I19" s="356" t="str">
        <f t="shared" si="3"/>
        <v>X</v>
      </c>
      <c r="J19" s="391">
        <f t="shared" si="4"/>
        <v>0</v>
      </c>
      <c r="K19" s="356" t="str">
        <f t="shared" si="5"/>
        <v>X</v>
      </c>
      <c r="L19" s="391">
        <f t="shared" si="6"/>
        <v>0</v>
      </c>
      <c r="M19" s="361">
        <f t="shared" si="7"/>
        <v>5.3</v>
      </c>
      <c r="N19" s="392">
        <f t="shared" si="8"/>
        <v>-0.1</v>
      </c>
      <c r="O19" s="151">
        <f t="shared" si="9"/>
        <v>643</v>
      </c>
      <c r="P19" s="152"/>
      <c r="Q19" s="153">
        <v>530</v>
      </c>
      <c r="R19" s="154">
        <v>-1</v>
      </c>
      <c r="S19" s="153"/>
      <c r="T19" s="154"/>
      <c r="U19" s="153"/>
      <c r="V19" s="154"/>
      <c r="W19" s="155">
        <f t="shared" si="10"/>
        <v>530</v>
      </c>
      <c r="X19" s="156">
        <f t="shared" si="11"/>
        <v>-1</v>
      </c>
      <c r="Y19" s="341"/>
      <c r="Z19" s="341"/>
      <c r="AA19" s="341"/>
    </row>
    <row r="20" spans="1:27" s="123" customFormat="1" ht="13.2" customHeight="1" x14ac:dyDescent="0.35">
      <c r="A20" s="148">
        <f t="shared" ca="1" si="0"/>
        <v>0.50746899750096974</v>
      </c>
      <c r="B20" s="52">
        <v>4</v>
      </c>
      <c r="C20" s="52">
        <v>27</v>
      </c>
      <c r="D20" s="115" t="e">
        <f>VLOOKUP(C20,Уч!$A$2:$K$25,2,FALSE)</f>
        <v>#N/A</v>
      </c>
      <c r="E20" s="116" t="e">
        <f>VLOOKUP(C20,Уч!$A$2:$K$25,3,FALSE)</f>
        <v>#N/A</v>
      </c>
      <c r="F20" s="120" t="e">
        <f>VLOOKUP(C20,Уч!$A$2:$K$25,5,FALSE)</f>
        <v>#N/A</v>
      </c>
      <c r="G20" s="356">
        <f t="shared" si="1"/>
        <v>5.61</v>
      </c>
      <c r="H20" s="391">
        <f t="shared" si="2"/>
        <v>0</v>
      </c>
      <c r="I20" s="356" t="str">
        <f t="shared" si="3"/>
        <v>X</v>
      </c>
      <c r="J20" s="391">
        <f t="shared" si="4"/>
        <v>0</v>
      </c>
      <c r="K20" s="356" t="str">
        <f t="shared" si="5"/>
        <v>X</v>
      </c>
      <c r="L20" s="391">
        <f t="shared" si="6"/>
        <v>0</v>
      </c>
      <c r="M20" s="361">
        <f t="shared" si="7"/>
        <v>5.61</v>
      </c>
      <c r="N20" s="392">
        <f t="shared" si="8"/>
        <v>0</v>
      </c>
      <c r="O20" s="151">
        <f t="shared" si="9"/>
        <v>732</v>
      </c>
      <c r="P20" s="152"/>
      <c r="Q20" s="153">
        <v>561</v>
      </c>
      <c r="R20" s="154">
        <v>0</v>
      </c>
      <c r="S20" s="153"/>
      <c r="T20" s="154"/>
      <c r="U20" s="153"/>
      <c r="V20" s="154"/>
      <c r="W20" s="155">
        <f t="shared" si="10"/>
        <v>561</v>
      </c>
      <c r="X20" s="156">
        <f t="shared" si="11"/>
        <v>0</v>
      </c>
      <c r="Y20" s="123" t="s">
        <v>96</v>
      </c>
    </row>
    <row r="21" spans="1:27" s="123" customFormat="1" ht="13.2" customHeight="1" x14ac:dyDescent="0.25">
      <c r="A21" s="147">
        <f t="shared" ca="1" si="0"/>
        <v>0.98734666201371191</v>
      </c>
      <c r="B21" s="52">
        <v>5</v>
      </c>
      <c r="C21" s="52">
        <v>38</v>
      </c>
      <c r="D21" s="115" t="e">
        <f>VLOOKUP(C21,Уч!$A$2:$K$25,2,FALSE)</f>
        <v>#N/A</v>
      </c>
      <c r="E21" s="116" t="e">
        <f>VLOOKUP(C21,Уч!$A$2:$K$25,3,FALSE)</f>
        <v>#N/A</v>
      </c>
      <c r="F21" s="120" t="e">
        <f>VLOOKUP(C21,Уч!$A$2:$K$25,5,FALSE)</f>
        <v>#N/A</v>
      </c>
      <c r="G21" s="356">
        <f t="shared" si="1"/>
        <v>5.54</v>
      </c>
      <c r="H21" s="391">
        <f t="shared" si="2"/>
        <v>0.4</v>
      </c>
      <c r="I21" s="356" t="str">
        <f t="shared" si="3"/>
        <v>X</v>
      </c>
      <c r="J21" s="391">
        <f t="shared" si="4"/>
        <v>0</v>
      </c>
      <c r="K21" s="356" t="str">
        <f t="shared" si="5"/>
        <v>X</v>
      </c>
      <c r="L21" s="391">
        <f t="shared" si="6"/>
        <v>0</v>
      </c>
      <c r="M21" s="361">
        <f t="shared" si="7"/>
        <v>5.54</v>
      </c>
      <c r="N21" s="392">
        <f t="shared" si="8"/>
        <v>0.4</v>
      </c>
      <c r="O21" s="151">
        <f t="shared" si="9"/>
        <v>712</v>
      </c>
      <c r="P21" s="152"/>
      <c r="Q21" s="153">
        <v>554</v>
      </c>
      <c r="R21" s="154">
        <v>4</v>
      </c>
      <c r="S21" s="153"/>
      <c r="T21" s="154"/>
      <c r="U21" s="153"/>
      <c r="V21" s="154"/>
      <c r="W21" s="155">
        <f t="shared" si="10"/>
        <v>554</v>
      </c>
      <c r="X21" s="156">
        <f t="shared" si="11"/>
        <v>4</v>
      </c>
      <c r="Y21" s="341"/>
      <c r="Z21" s="341"/>
      <c r="AA21" s="341"/>
    </row>
    <row r="22" spans="1:27" s="123" customFormat="1" ht="13.2" customHeight="1" x14ac:dyDescent="0.25">
      <c r="A22" s="147">
        <f t="shared" ca="1" si="0"/>
        <v>0.36158425458986121</v>
      </c>
      <c r="B22" s="52">
        <v>6</v>
      </c>
      <c r="C22" s="52">
        <v>21</v>
      </c>
      <c r="D22" s="115" t="e">
        <f>VLOOKUP(C22,Уч!$A$2:$K$25,2,FALSE)</f>
        <v>#N/A</v>
      </c>
      <c r="E22" s="116" t="e">
        <f>VLOOKUP(C22,Уч!$A$2:$K$25,3,FALSE)</f>
        <v>#N/A</v>
      </c>
      <c r="F22" s="120" t="e">
        <f>VLOOKUP(C22,Уч!$A$2:$K$25,5,FALSE)</f>
        <v>#N/A</v>
      </c>
      <c r="G22" s="356">
        <f t="shared" si="1"/>
        <v>5.7</v>
      </c>
      <c r="H22" s="391">
        <f t="shared" si="2"/>
        <v>0.3</v>
      </c>
      <c r="I22" s="356" t="str">
        <f t="shared" si="3"/>
        <v>X</v>
      </c>
      <c r="J22" s="391">
        <f t="shared" si="4"/>
        <v>0</v>
      </c>
      <c r="K22" s="356" t="str">
        <f t="shared" si="5"/>
        <v>X</v>
      </c>
      <c r="L22" s="391">
        <f t="shared" si="6"/>
        <v>0</v>
      </c>
      <c r="M22" s="361">
        <f t="shared" si="7"/>
        <v>5.7</v>
      </c>
      <c r="N22" s="392">
        <f t="shared" si="8"/>
        <v>0.3</v>
      </c>
      <c r="O22" s="151">
        <f t="shared" si="9"/>
        <v>759</v>
      </c>
      <c r="P22" s="152"/>
      <c r="Q22" s="153">
        <v>570</v>
      </c>
      <c r="R22" s="154">
        <v>3</v>
      </c>
      <c r="S22" s="153"/>
      <c r="T22" s="154"/>
      <c r="U22" s="153"/>
      <c r="V22" s="154"/>
      <c r="W22" s="155">
        <f t="shared" si="10"/>
        <v>570</v>
      </c>
      <c r="X22" s="156">
        <f t="shared" si="11"/>
        <v>3</v>
      </c>
      <c r="Y22" s="341"/>
      <c r="Z22" s="341"/>
      <c r="AA22" s="341"/>
    </row>
    <row r="23" spans="1:27" s="123" customFormat="1" ht="13.2" customHeight="1" x14ac:dyDescent="0.35">
      <c r="A23" s="148">
        <f t="shared" ca="1" si="0"/>
        <v>0.63650352767343576</v>
      </c>
      <c r="B23" s="52">
        <v>7</v>
      </c>
      <c r="C23" s="52">
        <v>76</v>
      </c>
      <c r="D23" s="115" t="e">
        <f>VLOOKUP(C23,Уч!$A$2:$K$25,2,FALSE)</f>
        <v>#N/A</v>
      </c>
      <c r="E23" s="116" t="e">
        <f>VLOOKUP(C23,Уч!$A$2:$K$25,3,FALSE)</f>
        <v>#N/A</v>
      </c>
      <c r="F23" s="120" t="e">
        <f>VLOOKUP(C23,Уч!$A$2:$K$25,5,FALSE)</f>
        <v>#N/A</v>
      </c>
      <c r="G23" s="356">
        <f t="shared" si="1"/>
        <v>5.04</v>
      </c>
      <c r="H23" s="391">
        <f t="shared" si="2"/>
        <v>-1.1000000000000001</v>
      </c>
      <c r="I23" s="356" t="str">
        <f t="shared" si="3"/>
        <v>X</v>
      </c>
      <c r="J23" s="391">
        <f t="shared" si="4"/>
        <v>0</v>
      </c>
      <c r="K23" s="356" t="str">
        <f t="shared" si="5"/>
        <v>X</v>
      </c>
      <c r="L23" s="391">
        <f t="shared" si="6"/>
        <v>0</v>
      </c>
      <c r="M23" s="361">
        <f t="shared" si="7"/>
        <v>5.04</v>
      </c>
      <c r="N23" s="392">
        <f t="shared" si="8"/>
        <v>-1.1000000000000001</v>
      </c>
      <c r="O23" s="151">
        <f t="shared" si="9"/>
        <v>570</v>
      </c>
      <c r="P23" s="152"/>
      <c r="Q23" s="153">
        <v>504</v>
      </c>
      <c r="R23" s="154">
        <v>-11</v>
      </c>
      <c r="S23" s="153"/>
      <c r="T23" s="154"/>
      <c r="U23" s="153"/>
      <c r="V23" s="154"/>
      <c r="W23" s="155">
        <f t="shared" si="10"/>
        <v>504</v>
      </c>
      <c r="X23" s="156">
        <f t="shared" si="11"/>
        <v>-11</v>
      </c>
    </row>
    <row r="24" spans="1:27" s="123" customFormat="1" ht="13.2" customHeight="1" x14ac:dyDescent="0.25">
      <c r="A24" s="148">
        <f t="shared" ca="1" si="0"/>
        <v>0.93753872916679548</v>
      </c>
      <c r="B24" s="52">
        <v>8</v>
      </c>
      <c r="C24" s="52">
        <v>37</v>
      </c>
      <c r="D24" s="115" t="e">
        <f>VLOOKUP(C24,Уч!$A$2:$K$25,2,FALSE)</f>
        <v>#N/A</v>
      </c>
      <c r="E24" s="116" t="e">
        <f>VLOOKUP(C24,Уч!$A$2:$K$25,3,FALSE)</f>
        <v>#N/A</v>
      </c>
      <c r="F24" s="120" t="e">
        <f>VLOOKUP(C24,Уч!$A$2:$K$25,5,FALSE)</f>
        <v>#N/A</v>
      </c>
      <c r="G24" s="356">
        <f t="shared" si="1"/>
        <v>5.92</v>
      </c>
      <c r="H24" s="391">
        <f t="shared" si="2"/>
        <v>-1</v>
      </c>
      <c r="I24" s="356" t="str">
        <f t="shared" si="3"/>
        <v>X</v>
      </c>
      <c r="J24" s="391">
        <f t="shared" si="4"/>
        <v>0</v>
      </c>
      <c r="K24" s="356" t="str">
        <f t="shared" si="5"/>
        <v>X</v>
      </c>
      <c r="L24" s="391">
        <f t="shared" si="6"/>
        <v>0</v>
      </c>
      <c r="M24" s="361">
        <f t="shared" si="7"/>
        <v>5.92</v>
      </c>
      <c r="N24" s="392">
        <f t="shared" si="8"/>
        <v>-1</v>
      </c>
      <c r="O24" s="151">
        <f t="shared" si="9"/>
        <v>825</v>
      </c>
      <c r="P24" s="152"/>
      <c r="Q24" s="153">
        <v>592</v>
      </c>
      <c r="R24" s="154">
        <v>-10</v>
      </c>
      <c r="S24" s="153"/>
      <c r="T24" s="154"/>
      <c r="U24" s="153"/>
      <c r="V24" s="154"/>
      <c r="W24" s="155">
        <f t="shared" si="10"/>
        <v>592</v>
      </c>
      <c r="X24" s="156">
        <f t="shared" si="11"/>
        <v>-10</v>
      </c>
      <c r="Y24" s="24"/>
      <c r="Z24" s="24"/>
      <c r="AA24" s="24"/>
    </row>
    <row r="25" spans="1:27" s="123" customFormat="1" ht="13.2" customHeight="1" x14ac:dyDescent="0.35">
      <c r="A25" s="148">
        <f t="shared" ca="1" si="0"/>
        <v>0.32564985844823924</v>
      </c>
      <c r="B25" s="52">
        <v>9</v>
      </c>
      <c r="C25" s="52">
        <v>14</v>
      </c>
      <c r="D25" s="115" t="e">
        <f>VLOOKUP(C25,Уч!$A$2:$K$25,2,FALSE)</f>
        <v>#N/A</v>
      </c>
      <c r="E25" s="116" t="e">
        <f>VLOOKUP(C25,Уч!$A$2:$K$25,3,FALSE)</f>
        <v>#N/A</v>
      </c>
      <c r="F25" s="120" t="e">
        <f>VLOOKUP(C25,Уч!$A$2:$K$25,5,FALSE)</f>
        <v>#N/A</v>
      </c>
      <c r="G25" s="356">
        <f t="shared" si="1"/>
        <v>5.4</v>
      </c>
      <c r="H25" s="391">
        <f t="shared" si="2"/>
        <v>0.2</v>
      </c>
      <c r="I25" s="356" t="str">
        <f t="shared" si="3"/>
        <v>X</v>
      </c>
      <c r="J25" s="391">
        <f t="shared" si="4"/>
        <v>0</v>
      </c>
      <c r="K25" s="356" t="str">
        <f t="shared" si="5"/>
        <v>X</v>
      </c>
      <c r="L25" s="391">
        <f t="shared" si="6"/>
        <v>0</v>
      </c>
      <c r="M25" s="361">
        <f t="shared" si="7"/>
        <v>5.4</v>
      </c>
      <c r="N25" s="392">
        <f t="shared" si="8"/>
        <v>0.2</v>
      </c>
      <c r="O25" s="151">
        <f t="shared" si="9"/>
        <v>671</v>
      </c>
      <c r="P25" s="152"/>
      <c r="Q25" s="153">
        <v>540</v>
      </c>
      <c r="R25" s="154">
        <v>2</v>
      </c>
      <c r="S25" s="153"/>
      <c r="T25" s="154"/>
      <c r="U25" s="153"/>
      <c r="V25" s="154"/>
      <c r="W25" s="155">
        <f t="shared" si="10"/>
        <v>540</v>
      </c>
      <c r="X25" s="156">
        <f t="shared" si="11"/>
        <v>2</v>
      </c>
    </row>
    <row r="26" spans="1:27" s="123" customFormat="1" ht="13.2" customHeight="1" x14ac:dyDescent="0.35">
      <c r="A26" s="148">
        <f t="shared" ca="1" si="0"/>
        <v>0.81320011850789542</v>
      </c>
      <c r="B26" s="52">
        <v>10</v>
      </c>
      <c r="C26" s="52">
        <v>87</v>
      </c>
      <c r="D26" s="115" t="e">
        <f>VLOOKUP(C26,Уч!$A$2:$K$25,2,FALSE)</f>
        <v>#N/A</v>
      </c>
      <c r="E26" s="116" t="e">
        <f>VLOOKUP(C26,Уч!$A$2:$K$25,3,FALSE)</f>
        <v>#N/A</v>
      </c>
      <c r="F26" s="120" t="e">
        <f>VLOOKUP(C26,Уч!$A$2:$K$25,5,FALSE)</f>
        <v>#N/A</v>
      </c>
      <c r="G26" s="356">
        <f t="shared" si="1"/>
        <v>5.88</v>
      </c>
      <c r="H26" s="391">
        <f t="shared" si="2"/>
        <v>0.1</v>
      </c>
      <c r="I26" s="356" t="str">
        <f t="shared" si="3"/>
        <v>X</v>
      </c>
      <c r="J26" s="391">
        <f t="shared" si="4"/>
        <v>0</v>
      </c>
      <c r="K26" s="356" t="str">
        <f t="shared" si="5"/>
        <v>X</v>
      </c>
      <c r="L26" s="391">
        <f t="shared" si="6"/>
        <v>0</v>
      </c>
      <c r="M26" s="361">
        <f t="shared" si="7"/>
        <v>5.88</v>
      </c>
      <c r="N26" s="392">
        <f t="shared" si="8"/>
        <v>0.1</v>
      </c>
      <c r="O26" s="151">
        <f t="shared" si="9"/>
        <v>813</v>
      </c>
      <c r="P26" s="152"/>
      <c r="Q26" s="153">
        <v>588</v>
      </c>
      <c r="R26" s="154">
        <v>1</v>
      </c>
      <c r="S26" s="153"/>
      <c r="T26" s="154"/>
      <c r="U26" s="153"/>
      <c r="V26" s="154"/>
      <c r="W26" s="155">
        <f t="shared" si="10"/>
        <v>588</v>
      </c>
      <c r="X26" s="156">
        <f t="shared" si="11"/>
        <v>1</v>
      </c>
      <c r="Y26" s="123" t="s">
        <v>96</v>
      </c>
    </row>
    <row r="27" spans="1:27" s="123" customFormat="1" ht="13.2" customHeight="1" x14ac:dyDescent="0.35">
      <c r="A27" s="148">
        <f t="shared" ca="1" si="0"/>
        <v>0.63745168145177689</v>
      </c>
      <c r="B27" s="52">
        <v>11</v>
      </c>
      <c r="C27" s="52">
        <v>61</v>
      </c>
      <c r="D27" s="115" t="str">
        <f>VLOOKUP(C27,Уч!$A$2:$K$25,2,FALSE)</f>
        <v>Ладикан Юлия</v>
      </c>
      <c r="E27" s="116" t="str">
        <f>VLOOKUP(C27,Уч!$A$2:$K$25,3,FALSE)</f>
        <v>15.04.1999</v>
      </c>
      <c r="F27" s="120" t="str">
        <f>VLOOKUP(C27,Уч!$A$2:$K$25,5,FALSE)</f>
        <v xml:space="preserve">Кемеровская область  </v>
      </c>
      <c r="G27" s="356">
        <f t="shared" si="1"/>
        <v>4.97</v>
      </c>
      <c r="H27" s="391">
        <f t="shared" si="2"/>
        <v>0.8</v>
      </c>
      <c r="I27" s="356" t="str">
        <f t="shared" si="3"/>
        <v>X</v>
      </c>
      <c r="J27" s="391">
        <f t="shared" si="4"/>
        <v>0</v>
      </c>
      <c r="K27" s="356" t="str">
        <f t="shared" si="5"/>
        <v>X</v>
      </c>
      <c r="L27" s="391">
        <f t="shared" si="6"/>
        <v>0</v>
      </c>
      <c r="M27" s="361">
        <f t="shared" si="7"/>
        <v>4.97</v>
      </c>
      <c r="N27" s="392">
        <f t="shared" si="8"/>
        <v>0.8</v>
      </c>
      <c r="O27" s="151">
        <f t="shared" si="9"/>
        <v>551</v>
      </c>
      <c r="P27" s="152"/>
      <c r="Q27" s="153">
        <v>497</v>
      </c>
      <c r="R27" s="154">
        <v>8</v>
      </c>
      <c r="S27" s="153"/>
      <c r="T27" s="154"/>
      <c r="U27" s="153"/>
      <c r="V27" s="154"/>
      <c r="W27" s="155">
        <f t="shared" si="10"/>
        <v>497</v>
      </c>
      <c r="X27" s="156">
        <f t="shared" si="11"/>
        <v>8</v>
      </c>
      <c r="Y27" s="123" t="s">
        <v>96</v>
      </c>
    </row>
    <row r="28" spans="1:27" s="123" customFormat="1" ht="13.2" customHeight="1" x14ac:dyDescent="0.35">
      <c r="A28" s="148">
        <f t="shared" ca="1" si="0"/>
        <v>0.7071512281021346</v>
      </c>
      <c r="B28" s="52">
        <v>12</v>
      </c>
      <c r="C28" s="52">
        <v>71</v>
      </c>
      <c r="D28" s="115" t="e">
        <f>VLOOKUP(C28,Уч!$A$2:$K$25,2,FALSE)</f>
        <v>#N/A</v>
      </c>
      <c r="E28" s="116" t="e">
        <f>VLOOKUP(C28,Уч!$A$2:$K$25,3,FALSE)</f>
        <v>#N/A</v>
      </c>
      <c r="F28" s="120" t="e">
        <f>VLOOKUP(C28,Уч!$A$2:$K$25,5,FALSE)</f>
        <v>#N/A</v>
      </c>
      <c r="G28" s="356">
        <f t="shared" si="1"/>
        <v>6.22</v>
      </c>
      <c r="H28" s="391">
        <f t="shared" si="2"/>
        <v>0.6</v>
      </c>
      <c r="I28" s="356" t="str">
        <f t="shared" si="3"/>
        <v>X</v>
      </c>
      <c r="J28" s="391">
        <f t="shared" si="4"/>
        <v>0</v>
      </c>
      <c r="K28" s="356" t="str">
        <f t="shared" si="5"/>
        <v>X</v>
      </c>
      <c r="L28" s="391">
        <f t="shared" si="6"/>
        <v>0</v>
      </c>
      <c r="M28" s="361">
        <f t="shared" si="7"/>
        <v>6.22</v>
      </c>
      <c r="N28" s="392">
        <f t="shared" si="8"/>
        <v>0.6</v>
      </c>
      <c r="O28" s="151">
        <f t="shared" si="9"/>
        <v>918</v>
      </c>
      <c r="P28" s="152"/>
      <c r="Q28" s="153">
        <v>622</v>
      </c>
      <c r="R28" s="154">
        <v>6</v>
      </c>
      <c r="S28" s="153"/>
      <c r="T28" s="154"/>
      <c r="U28" s="153"/>
      <c r="V28" s="154"/>
      <c r="W28" s="155">
        <f t="shared" si="10"/>
        <v>622</v>
      </c>
      <c r="X28" s="156">
        <f t="shared" si="11"/>
        <v>6</v>
      </c>
      <c r="Y28" s="86"/>
      <c r="Z28" s="86"/>
      <c r="AA28" s="86"/>
    </row>
    <row r="29" spans="1:27" ht="13.8" outlineLevel="1" x14ac:dyDescent="0.25">
      <c r="A29" s="148">
        <f t="shared" ca="1" si="0"/>
        <v>0.11571061203439914</v>
      </c>
      <c r="B29" s="52">
        <v>13</v>
      </c>
      <c r="C29" s="52">
        <v>30</v>
      </c>
      <c r="D29" s="115" t="e">
        <f>VLOOKUP(C29,Уч!$A$2:$K$25,2,FALSE)</f>
        <v>#N/A</v>
      </c>
      <c r="E29" s="116" t="e">
        <f>VLOOKUP(C29,Уч!$A$2:$K$25,3,FALSE)</f>
        <v>#N/A</v>
      </c>
      <c r="F29" s="120" t="e">
        <f>VLOOKUP(C29,Уч!$A$2:$K$25,5,FALSE)</f>
        <v>#N/A</v>
      </c>
      <c r="G29" s="356">
        <f t="shared" si="1"/>
        <v>5.67</v>
      </c>
      <c r="H29" s="391">
        <f t="shared" si="2"/>
        <v>0.6</v>
      </c>
      <c r="I29" s="356" t="str">
        <f t="shared" si="3"/>
        <v>X</v>
      </c>
      <c r="J29" s="391">
        <f t="shared" si="4"/>
        <v>0</v>
      </c>
      <c r="K29" s="356" t="str">
        <f t="shared" si="5"/>
        <v>X</v>
      </c>
      <c r="L29" s="391">
        <f t="shared" si="6"/>
        <v>0</v>
      </c>
      <c r="M29" s="361">
        <f t="shared" si="7"/>
        <v>5.67</v>
      </c>
      <c r="N29" s="392">
        <f t="shared" si="8"/>
        <v>0.6</v>
      </c>
      <c r="O29" s="151">
        <f t="shared" si="9"/>
        <v>750</v>
      </c>
      <c r="P29" s="152"/>
      <c r="Q29" s="153">
        <v>567</v>
      </c>
      <c r="R29" s="154">
        <v>6</v>
      </c>
      <c r="S29" s="153"/>
      <c r="T29" s="154"/>
      <c r="U29" s="153"/>
      <c r="V29" s="154"/>
      <c r="W29" s="155">
        <f t="shared" si="10"/>
        <v>567</v>
      </c>
      <c r="X29" s="156">
        <f t="shared" si="11"/>
        <v>6</v>
      </c>
      <c r="Y29" s="123"/>
      <c r="Z29" s="123"/>
      <c r="AA29" s="123"/>
    </row>
    <row r="30" spans="1:27" ht="13.8" outlineLevel="1" x14ac:dyDescent="0.25">
      <c r="A30" s="148">
        <f t="shared" ref="A30:A36" ca="1" si="12">RAND()</f>
        <v>0.17082526194954095</v>
      </c>
      <c r="B30" s="331"/>
      <c r="C30" s="315"/>
      <c r="D30" s="332"/>
      <c r="E30" s="333"/>
      <c r="F30" s="334"/>
      <c r="G30" s="335"/>
      <c r="H30" s="347"/>
      <c r="I30" s="335"/>
      <c r="J30" s="347"/>
      <c r="K30" s="335"/>
      <c r="L30" s="347"/>
      <c r="M30" s="348"/>
      <c r="N30" s="349"/>
      <c r="O30" s="158">
        <f t="shared" ref="O30:O36" si="13">IF(W30&lt;216,0,IF(W30=0,0,ROUNDDOWN(0.188807*(W30-210)^1.41,0)))</f>
        <v>0</v>
      </c>
      <c r="P30" s="152"/>
      <c r="Q30" s="153"/>
      <c r="R30" s="154"/>
      <c r="S30" s="153"/>
      <c r="T30" s="154"/>
      <c r="U30" s="153"/>
      <c r="V30" s="154"/>
      <c r="W30" s="155">
        <f t="shared" ref="W30:W36" si="14">Q30</f>
        <v>0</v>
      </c>
      <c r="X30" s="156"/>
      <c r="Y30" s="123"/>
      <c r="Z30" s="123"/>
      <c r="AA30" s="123"/>
    </row>
    <row r="31" spans="1:27" ht="16.05" customHeight="1" outlineLevel="1" x14ac:dyDescent="0.25">
      <c r="A31" s="148">
        <f t="shared" ca="1" si="12"/>
        <v>0.817388683678276</v>
      </c>
      <c r="B31" s="294" t="s">
        <v>148</v>
      </c>
      <c r="C31" s="315"/>
      <c r="D31" s="332"/>
      <c r="E31" s="333"/>
      <c r="F31" s="334"/>
      <c r="G31" s="335"/>
      <c r="H31" s="347"/>
      <c r="I31" s="335"/>
      <c r="J31" s="347"/>
      <c r="K31" s="335"/>
      <c r="L31" s="347"/>
      <c r="M31" s="348"/>
      <c r="N31" s="349"/>
      <c r="O31" s="158">
        <f t="shared" si="13"/>
        <v>0</v>
      </c>
      <c r="P31" s="152"/>
      <c r="Q31" s="153"/>
      <c r="R31" s="154"/>
      <c r="S31" s="153"/>
      <c r="T31" s="154"/>
      <c r="U31" s="153"/>
      <c r="V31" s="154"/>
      <c r="W31" s="155">
        <f t="shared" si="14"/>
        <v>0</v>
      </c>
      <c r="X31" s="156"/>
      <c r="Y31" s="123"/>
      <c r="Z31" s="123"/>
      <c r="AA31" s="123"/>
    </row>
    <row r="32" spans="1:27" ht="16.05" customHeight="1" outlineLevel="1" x14ac:dyDescent="0.25">
      <c r="A32" s="148">
        <f t="shared" ca="1" si="12"/>
        <v>0.80227944365928572</v>
      </c>
      <c r="B32" s="294" t="s">
        <v>151</v>
      </c>
      <c r="C32" s="315"/>
      <c r="D32" s="332"/>
      <c r="E32" s="333"/>
      <c r="F32" s="334"/>
      <c r="G32" s="335"/>
      <c r="H32" s="347"/>
      <c r="I32" s="335"/>
      <c r="J32" s="347"/>
      <c r="K32" s="335"/>
      <c r="L32" s="347"/>
      <c r="M32" s="348"/>
      <c r="N32" s="349"/>
      <c r="O32" s="158">
        <f t="shared" si="13"/>
        <v>0</v>
      </c>
      <c r="P32" s="152"/>
      <c r="Q32" s="153"/>
      <c r="R32" s="154"/>
      <c r="S32" s="153"/>
      <c r="T32" s="154"/>
      <c r="U32" s="153"/>
      <c r="V32" s="154"/>
      <c r="W32" s="155">
        <f t="shared" si="14"/>
        <v>0</v>
      </c>
      <c r="X32" s="156"/>
      <c r="Y32" s="123"/>
      <c r="Z32" s="123"/>
      <c r="AA32" s="123"/>
    </row>
    <row r="33" spans="1:27" ht="16.05" customHeight="1" outlineLevel="1" x14ac:dyDescent="0.25">
      <c r="A33" s="148">
        <f t="shared" ca="1" si="12"/>
        <v>0.71565106760587727</v>
      </c>
      <c r="B33" s="294" t="s">
        <v>152</v>
      </c>
      <c r="C33" s="315"/>
      <c r="D33" s="332"/>
      <c r="E33" s="333"/>
      <c r="F33" s="334"/>
      <c r="G33" s="335"/>
      <c r="H33" s="347"/>
      <c r="I33" s="335"/>
      <c r="J33" s="347"/>
      <c r="K33" s="335"/>
      <c r="L33" s="347"/>
      <c r="M33" s="348"/>
      <c r="N33" s="349"/>
      <c r="O33" s="158">
        <f t="shared" si="13"/>
        <v>0</v>
      </c>
      <c r="P33" s="152"/>
      <c r="Q33" s="153"/>
      <c r="R33" s="154"/>
      <c r="S33" s="153"/>
      <c r="T33" s="154"/>
      <c r="U33" s="153"/>
      <c r="V33" s="154"/>
      <c r="W33" s="155">
        <f t="shared" si="14"/>
        <v>0</v>
      </c>
      <c r="X33" s="156"/>
      <c r="Y33" s="123"/>
      <c r="Z33" s="123"/>
      <c r="AA33" s="123"/>
    </row>
    <row r="34" spans="1:27" ht="13.8" x14ac:dyDescent="0.25">
      <c r="A34" s="148">
        <f t="shared" ca="1" si="12"/>
        <v>0.99810461259786876</v>
      </c>
      <c r="B34" s="324">
        <v>21</v>
      </c>
      <c r="C34" s="166">
        <v>1308</v>
      </c>
      <c r="D34" s="325" t="e">
        <f>VLOOKUP(C34,Уч!$A$2:$K$25,2,FALSE)</f>
        <v>#N/A</v>
      </c>
      <c r="E34" s="326" t="e">
        <f>VLOOKUP(C34,Уч!$A$2:$K$25,3,FALSE)</f>
        <v>#N/A</v>
      </c>
      <c r="F34" s="327" t="e">
        <f>VLOOKUP(C34,Уч!$A$2:$K$25,5,FALSE)</f>
        <v>#N/A</v>
      </c>
      <c r="G34" s="343" t="str">
        <f t="shared" ref="G34:G36" si="15">IF(Q34=0,"X",Q34/100)</f>
        <v>X</v>
      </c>
      <c r="H34" s="344">
        <f t="shared" ref="H34:H36" si="16">R34/10</f>
        <v>0</v>
      </c>
      <c r="I34" s="343" t="str">
        <f t="shared" ref="I34:I36" si="17">IF(S34=0,"X",S34/100)</f>
        <v>X</v>
      </c>
      <c r="J34" s="344">
        <f t="shared" ref="J34:J36" si="18">T34/10</f>
        <v>0</v>
      </c>
      <c r="K34" s="343" t="str">
        <f t="shared" ref="K34:K36" si="19">IF(U34=0,"X",U34/100)</f>
        <v>X</v>
      </c>
      <c r="L34" s="344">
        <f t="shared" ref="L34:L36" si="20">V34/10</f>
        <v>0</v>
      </c>
      <c r="M34" s="345">
        <f t="shared" ref="M34:M36" si="21">MAX(Q34,S34,U34)/100</f>
        <v>0</v>
      </c>
      <c r="N34" s="346">
        <f t="shared" ref="N34:N36" si="22">X34/10</f>
        <v>0</v>
      </c>
      <c r="O34" s="158">
        <f t="shared" si="13"/>
        <v>0</v>
      </c>
      <c r="P34" s="152"/>
      <c r="Q34" s="153"/>
      <c r="R34" s="154"/>
      <c r="S34" s="153"/>
      <c r="T34" s="154"/>
      <c r="U34" s="153"/>
      <c r="V34" s="154"/>
      <c r="W34" s="155">
        <f t="shared" si="14"/>
        <v>0</v>
      </c>
      <c r="X34" s="156"/>
      <c r="Y34" s="123"/>
      <c r="Z34" s="123"/>
      <c r="AA34" s="123"/>
    </row>
    <row r="35" spans="1:27" ht="13.8" x14ac:dyDescent="0.25">
      <c r="A35" s="148">
        <f t="shared" ca="1" si="12"/>
        <v>0.10039738704158441</v>
      </c>
      <c r="B35" s="52">
        <v>22</v>
      </c>
      <c r="C35" s="51">
        <v>1348</v>
      </c>
      <c r="D35" s="115" t="e">
        <f>VLOOKUP(C35,Уч!$A$2:$K$25,2,FALSE)</f>
        <v>#N/A</v>
      </c>
      <c r="E35" s="116" t="e">
        <f>VLOOKUP(C35,Уч!$A$2:$K$25,3,FALSE)</f>
        <v>#N/A</v>
      </c>
      <c r="F35" s="120" t="e">
        <f>VLOOKUP(C35,Уч!$A$2:$K$25,5,FALSE)</f>
        <v>#N/A</v>
      </c>
      <c r="G35" s="149" t="str">
        <f t="shared" si="15"/>
        <v>X</v>
      </c>
      <c r="H35" s="150">
        <f t="shared" si="16"/>
        <v>0</v>
      </c>
      <c r="I35" s="149" t="str">
        <f t="shared" si="17"/>
        <v>X</v>
      </c>
      <c r="J35" s="150">
        <f t="shared" si="18"/>
        <v>0</v>
      </c>
      <c r="K35" s="149" t="str">
        <f t="shared" si="19"/>
        <v>X</v>
      </c>
      <c r="L35" s="150">
        <f t="shared" si="20"/>
        <v>0</v>
      </c>
      <c r="M35" s="126">
        <f t="shared" si="21"/>
        <v>0</v>
      </c>
      <c r="N35" s="157">
        <f t="shared" si="22"/>
        <v>0</v>
      </c>
      <c r="O35" s="158">
        <f t="shared" si="13"/>
        <v>0</v>
      </c>
      <c r="P35" s="152"/>
      <c r="Q35" s="153"/>
      <c r="R35" s="154"/>
      <c r="S35" s="153"/>
      <c r="T35" s="154"/>
      <c r="U35" s="153"/>
      <c r="V35" s="154"/>
      <c r="W35" s="155">
        <f t="shared" si="14"/>
        <v>0</v>
      </c>
      <c r="X35" s="156"/>
      <c r="Y35" s="123"/>
      <c r="Z35" s="123"/>
      <c r="AA35" s="123"/>
    </row>
    <row r="36" spans="1:27" ht="13.8" x14ac:dyDescent="0.25">
      <c r="A36" s="147">
        <f t="shared" ca="1" si="12"/>
        <v>0.84647575521104734</v>
      </c>
      <c r="B36" s="52">
        <v>23</v>
      </c>
      <c r="C36" s="51">
        <v>1306</v>
      </c>
      <c r="D36" s="115" t="e">
        <f>VLOOKUP(C36,Уч!$A$2:$K$25,2,FALSE)</f>
        <v>#N/A</v>
      </c>
      <c r="E36" s="116" t="e">
        <f>VLOOKUP(C36,Уч!$A$2:$K$25,3,FALSE)</f>
        <v>#N/A</v>
      </c>
      <c r="F36" s="120" t="e">
        <f>VLOOKUP(C36,Уч!$A$2:$K$25,5,FALSE)</f>
        <v>#N/A</v>
      </c>
      <c r="G36" s="149" t="str">
        <f t="shared" si="15"/>
        <v>X</v>
      </c>
      <c r="H36" s="150">
        <f t="shared" si="16"/>
        <v>0</v>
      </c>
      <c r="I36" s="149" t="str">
        <f t="shared" si="17"/>
        <v>X</v>
      </c>
      <c r="J36" s="150">
        <f t="shared" si="18"/>
        <v>0</v>
      </c>
      <c r="K36" s="149" t="str">
        <f t="shared" si="19"/>
        <v>X</v>
      </c>
      <c r="L36" s="150">
        <f t="shared" si="20"/>
        <v>0</v>
      </c>
      <c r="M36" s="126">
        <f t="shared" si="21"/>
        <v>0</v>
      </c>
      <c r="N36" s="157">
        <f t="shared" si="22"/>
        <v>0</v>
      </c>
      <c r="O36" s="158">
        <f t="shared" si="13"/>
        <v>0</v>
      </c>
      <c r="P36" s="152"/>
      <c r="Q36" s="153"/>
      <c r="R36" s="154"/>
      <c r="S36" s="153"/>
      <c r="T36" s="154"/>
      <c r="U36" s="153"/>
      <c r="V36" s="154"/>
      <c r="W36" s="155">
        <f t="shared" si="14"/>
        <v>0</v>
      </c>
      <c r="X36" s="43"/>
    </row>
  </sheetData>
  <sortState ref="A17:AA31">
    <sortCondition ref="A17:A31"/>
  </sortState>
  <mergeCells count="7">
    <mergeCell ref="B7:N7"/>
    <mergeCell ref="B1:N1"/>
    <mergeCell ref="B2:N2"/>
    <mergeCell ref="B3:N3"/>
    <mergeCell ref="B4:N4"/>
    <mergeCell ref="B5:N5"/>
    <mergeCell ref="B6:N6"/>
  </mergeCells>
  <printOptions horizontalCentered="1"/>
  <pageMargins left="0.59055118110236227" right="0.59055118110236227" top="0.78740157480314965" bottom="0.78740157480314965" header="0.51181102362204722" footer="0.51181102362204722"/>
  <pageSetup paperSize="9" scale="105" orientation="landscape" verticalDpi="300" r:id="rId1"/>
  <headerFooter alignWithMargins="0"/>
  <colBreaks count="1" manualBreakCount="1">
    <brk id="1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AI39"/>
  <sheetViews>
    <sheetView view="pageBreakPreview" topLeftCell="A4" zoomScaleSheetLayoutView="100" workbookViewId="0">
      <selection activeCell="I25" sqref="I25"/>
    </sheetView>
  </sheetViews>
  <sheetFormatPr defaultColWidth="9.109375" defaultRowHeight="13.2" outlineLevelRow="1" outlineLevelCol="1" x14ac:dyDescent="0.25"/>
  <cols>
    <col min="1" max="1" width="14" style="24" customWidth="1" outlineLevel="1"/>
    <col min="2" max="2" width="6.33203125" style="24" customWidth="1"/>
    <col min="3" max="3" width="8" style="37" customWidth="1"/>
    <col min="4" max="4" width="23.109375" style="24" customWidth="1"/>
    <col min="5" max="5" width="8.109375" style="24" customWidth="1" outlineLevel="1"/>
    <col min="6" max="6" width="23.33203125" style="24" customWidth="1" outlineLevel="1"/>
    <col min="7" max="8" width="10.6640625" style="37" customWidth="1" outlineLevel="1"/>
    <col min="9" max="9" width="10.6640625" style="24" customWidth="1" outlineLevel="1"/>
    <col min="10" max="10" width="10.5546875" style="24" bestFit="1" customWidth="1"/>
    <col min="11" max="11" width="11" style="38" customWidth="1"/>
    <col min="12" max="12" width="5.6640625" style="38" customWidth="1"/>
    <col min="13" max="13" width="11.33203125" style="122" customWidth="1" outlineLevel="1"/>
    <col min="14" max="15" width="5" style="122" customWidth="1" outlineLevel="1"/>
    <col min="16" max="16" width="8" style="24" customWidth="1" outlineLevel="1"/>
    <col min="17" max="16384" width="9.109375" style="24"/>
  </cols>
  <sheetData>
    <row r="1" spans="1:16" ht="13.2" customHeight="1" x14ac:dyDescent="0.25">
      <c r="B1" s="437" t="str">
        <f>Расп!A21</f>
        <v>МИНИСТЕРСТВО СПОРТА РОССИЙСКОЙ ФЕДЕРАЦИИ</v>
      </c>
      <c r="C1" s="437"/>
      <c r="D1" s="437"/>
      <c r="E1" s="437"/>
      <c r="F1" s="437"/>
      <c r="G1" s="437"/>
      <c r="H1" s="437"/>
      <c r="I1" s="437"/>
      <c r="J1" s="437"/>
      <c r="M1" s="111"/>
      <c r="N1" s="111"/>
      <c r="O1" s="111"/>
      <c r="P1" s="39"/>
    </row>
    <row r="2" spans="1:16" ht="13.2" customHeight="1" x14ac:dyDescent="0.25">
      <c r="B2" s="437" t="str">
        <f>Расп!A22</f>
        <v>ВСЕРОССИЙСКАЯ ФЕДЕРАЦИЯ ЛЕГКОЙ АТЛЕТИКИ</v>
      </c>
      <c r="C2" s="437"/>
      <c r="D2" s="437"/>
      <c r="E2" s="437"/>
      <c r="F2" s="437"/>
      <c r="G2" s="437"/>
      <c r="H2" s="437"/>
      <c r="I2" s="437"/>
      <c r="J2" s="437"/>
      <c r="M2" s="111"/>
      <c r="N2" s="111"/>
      <c r="O2" s="111"/>
      <c r="P2" s="39"/>
    </row>
    <row r="3" spans="1:16" ht="13.2" customHeight="1" x14ac:dyDescent="0.25">
      <c r="B3" s="437" t="str">
        <f>Расп!A25</f>
        <v>Командный чемпионат России</v>
      </c>
      <c r="C3" s="437"/>
      <c r="D3" s="437"/>
      <c r="E3" s="437"/>
      <c r="F3" s="437"/>
      <c r="G3" s="437"/>
      <c r="H3" s="437"/>
      <c r="I3" s="437"/>
      <c r="J3" s="437"/>
      <c r="M3" s="111"/>
      <c r="N3" s="111"/>
      <c r="O3" s="111"/>
      <c r="P3" s="39"/>
    </row>
    <row r="4" spans="1:16" ht="13.2" customHeight="1" x14ac:dyDescent="0.25">
      <c r="B4" s="437" t="str">
        <f>Расп!A27</f>
        <v>по многоборью</v>
      </c>
      <c r="C4" s="437"/>
      <c r="D4" s="437"/>
      <c r="E4" s="437"/>
      <c r="F4" s="437"/>
      <c r="G4" s="437"/>
      <c r="H4" s="437"/>
      <c r="I4" s="437"/>
      <c r="J4" s="437"/>
      <c r="M4" s="111"/>
      <c r="N4" s="111"/>
      <c r="O4" s="111"/>
      <c r="P4" s="39"/>
    </row>
    <row r="5" spans="1:16" ht="13.2" customHeight="1" x14ac:dyDescent="0.25">
      <c r="B5" s="437" t="str">
        <f>Расп!B13</f>
        <v>Женщины</v>
      </c>
      <c r="C5" s="437"/>
      <c r="D5" s="437"/>
      <c r="E5" s="437"/>
      <c r="F5" s="437"/>
      <c r="G5" s="437"/>
      <c r="H5" s="437"/>
      <c r="I5" s="437"/>
      <c r="J5" s="437"/>
      <c r="M5" s="111"/>
      <c r="N5" s="111"/>
      <c r="O5" s="111"/>
      <c r="P5" s="39"/>
    </row>
    <row r="6" spans="1:16" ht="13.2" customHeight="1" x14ac:dyDescent="0.25">
      <c r="B6" s="442" t="s">
        <v>12</v>
      </c>
      <c r="C6" s="442"/>
      <c r="D6" s="442"/>
      <c r="E6" s="442"/>
      <c r="F6" s="442"/>
      <c r="G6" s="442"/>
      <c r="H6" s="442"/>
      <c r="I6" s="442"/>
      <c r="J6" s="442"/>
      <c r="M6" s="111"/>
      <c r="N6" s="111"/>
      <c r="O6" s="111"/>
      <c r="P6" s="39"/>
    </row>
    <row r="7" spans="1:16" ht="13.2" customHeight="1" x14ac:dyDescent="0.3">
      <c r="B7" s="436" t="str">
        <f>Расп!A8</f>
        <v>метание копья (600 г)</v>
      </c>
      <c r="C7" s="436"/>
      <c r="D7" s="436"/>
      <c r="E7" s="436"/>
      <c r="F7" s="436"/>
      <c r="G7" s="436"/>
      <c r="H7" s="436"/>
      <c r="I7" s="436"/>
      <c r="J7" s="436"/>
      <c r="M7" s="111"/>
      <c r="N7" s="111"/>
      <c r="O7" s="111"/>
      <c r="P7" s="39"/>
    </row>
    <row r="8" spans="1:16" ht="13.2" hidden="1" customHeight="1" x14ac:dyDescent="0.25">
      <c r="C8" s="36"/>
      <c r="D8" s="37"/>
      <c r="E8" s="37"/>
      <c r="G8" s="41"/>
      <c r="H8" s="24"/>
      <c r="M8" s="111"/>
      <c r="N8" s="111"/>
      <c r="O8" s="111"/>
      <c r="P8" s="39"/>
    </row>
    <row r="9" spans="1:16" ht="13.2" hidden="1" customHeight="1" x14ac:dyDescent="0.3">
      <c r="C9" s="45"/>
      <c r="D9" s="37"/>
      <c r="G9" s="41"/>
      <c r="H9" s="41"/>
      <c r="M9" s="111"/>
      <c r="N9" s="111"/>
      <c r="O9" s="111"/>
      <c r="P9" s="39"/>
    </row>
    <row r="10" spans="1:16" ht="13.2" hidden="1" customHeight="1" x14ac:dyDescent="0.25">
      <c r="C10" s="42"/>
      <c r="D10" s="21"/>
      <c r="G10" s="41"/>
      <c r="I10" s="113" t="str">
        <f>Расп!C8</f>
        <v xml:space="preserve"> </v>
      </c>
      <c r="J10" s="36"/>
      <c r="M10" s="111"/>
      <c r="N10" s="111"/>
      <c r="O10" s="111"/>
      <c r="P10" s="43" t="s">
        <v>22</v>
      </c>
    </row>
    <row r="11" spans="1:16" ht="13.2" hidden="1" customHeight="1" outlineLevel="1" x14ac:dyDescent="0.3">
      <c r="C11" s="44"/>
      <c r="D11" s="37"/>
      <c r="E11" s="37"/>
      <c r="F11" s="161"/>
      <c r="J11" s="92"/>
      <c r="M11" s="111"/>
      <c r="N11" s="111"/>
      <c r="O11" s="111"/>
      <c r="P11" s="43" t="s">
        <v>23</v>
      </c>
    </row>
    <row r="12" spans="1:16" ht="13.2" hidden="1" customHeight="1" x14ac:dyDescent="0.3">
      <c r="C12" s="44"/>
      <c r="D12" s="37"/>
      <c r="E12" s="37"/>
      <c r="G12" s="60"/>
      <c r="J12" s="92"/>
      <c r="M12" s="111"/>
      <c r="N12" s="111"/>
      <c r="O12" s="111"/>
      <c r="P12" s="43" t="s">
        <v>24</v>
      </c>
    </row>
    <row r="13" spans="1:16" ht="13.2" customHeight="1" outlineLevel="1" x14ac:dyDescent="0.3">
      <c r="B13" s="188" t="str">
        <f>Расп!A6</f>
        <v>19.05.2019 г.</v>
      </c>
      <c r="C13" s="44"/>
      <c r="D13" s="37"/>
      <c r="E13" s="37"/>
      <c r="G13" s="161"/>
      <c r="I13" s="89" t="str">
        <f>Расп!B1</f>
        <v>Начало:</v>
      </c>
      <c r="J13" s="190">
        <f>Расп!B8</f>
        <v>0.48958333333333331</v>
      </c>
      <c r="M13" s="111"/>
      <c r="N13" s="111"/>
      <c r="O13" s="111"/>
      <c r="P13" s="39"/>
    </row>
    <row r="14" spans="1:16" ht="13.2" customHeight="1" x14ac:dyDescent="0.3">
      <c r="B14" s="24" t="str">
        <f>Расп!A26</f>
        <v>г.Сочи, Адлерский район, стадион "Юность"</v>
      </c>
      <c r="C14" s="44"/>
      <c r="D14" s="37"/>
      <c r="E14" s="37"/>
      <c r="G14" s="45"/>
      <c r="H14" s="24"/>
      <c r="I14" s="89" t="str">
        <f>Расп!C1</f>
        <v>Окончание:</v>
      </c>
      <c r="M14" s="111"/>
      <c r="N14" s="111"/>
      <c r="O14" s="111"/>
      <c r="P14" s="39"/>
    </row>
    <row r="15" spans="1:16" s="48" customFormat="1" ht="20.399999999999999" customHeight="1" x14ac:dyDescent="0.25">
      <c r="A15" s="46" t="s">
        <v>37</v>
      </c>
      <c r="B15" s="199" t="s">
        <v>117</v>
      </c>
      <c r="C15" s="193" t="s">
        <v>113</v>
      </c>
      <c r="D15" s="193" t="s">
        <v>114</v>
      </c>
      <c r="E15" s="193" t="s">
        <v>115</v>
      </c>
      <c r="F15" s="194" t="s">
        <v>116</v>
      </c>
      <c r="G15" s="46">
        <v>1</v>
      </c>
      <c r="H15" s="46">
        <v>2</v>
      </c>
      <c r="I15" s="46">
        <v>3</v>
      </c>
      <c r="J15" s="46" t="s">
        <v>18</v>
      </c>
      <c r="K15" s="47" t="s">
        <v>29</v>
      </c>
      <c r="L15" s="49"/>
      <c r="M15" s="114" t="s">
        <v>31</v>
      </c>
      <c r="N15" s="114" t="s">
        <v>32</v>
      </c>
      <c r="O15" s="114" t="s">
        <v>33</v>
      </c>
      <c r="P15" s="43" t="s">
        <v>28</v>
      </c>
    </row>
    <row r="16" spans="1:16" s="48" customFormat="1" ht="13.2" hidden="1" customHeight="1" x14ac:dyDescent="0.25">
      <c r="K16" s="49"/>
      <c r="L16" s="49"/>
      <c r="M16" s="114"/>
      <c r="N16" s="114"/>
      <c r="O16" s="114"/>
      <c r="P16" s="43"/>
    </row>
    <row r="17" spans="1:35" s="48" customFormat="1" ht="13.2" hidden="1" customHeight="1" x14ac:dyDescent="0.25">
      <c r="D17" s="48" t="s">
        <v>38</v>
      </c>
      <c r="K17" s="49"/>
      <c r="L17" s="49"/>
      <c r="M17" s="114"/>
      <c r="N17" s="114"/>
      <c r="O17" s="114"/>
      <c r="P17" s="43"/>
    </row>
    <row r="18" spans="1:35" s="48" customFormat="1" ht="13.2" customHeight="1" x14ac:dyDescent="0.25">
      <c r="A18" s="51">
        <f t="shared" ref="A18:A31" ca="1" si="0">RAND()</f>
        <v>0.87920113726440519</v>
      </c>
      <c r="B18" s="52">
        <v>1</v>
      </c>
      <c r="C18" s="52">
        <v>13</v>
      </c>
      <c r="D18" s="115" t="e">
        <f>VLOOKUP(C18,Уч!$A$2:$K$25,2,FALSE)</f>
        <v>#N/A</v>
      </c>
      <c r="E18" s="162" t="e">
        <f>VLOOKUP(C18,Уч!$A$2:$K$25,3,FALSE)</f>
        <v>#N/A</v>
      </c>
      <c r="F18" s="120" t="e">
        <f>VLOOKUP(C18,Уч!$A$2:$K$25,5,FALSE)</f>
        <v>#N/A</v>
      </c>
      <c r="G18" s="357">
        <f t="shared" ref="G18:G30" si="1">M18/100</f>
        <v>34.19</v>
      </c>
      <c r="H18" s="357">
        <f t="shared" ref="H18:H30" si="2">N18/100</f>
        <v>0</v>
      </c>
      <c r="I18" s="357">
        <f t="shared" ref="I18:I30" si="3">O18/100</f>
        <v>0</v>
      </c>
      <c r="J18" s="339">
        <f t="shared" ref="J18:J30" si="4">P18/100</f>
        <v>34.19</v>
      </c>
      <c r="K18" s="47">
        <f t="shared" ref="K18:K31" si="5">IF(P18&lt;388,0,IF(P18=0,0,ROUNDDOWN(15.9803*(P18/100-3.8)^1.04,0)))</f>
        <v>556</v>
      </c>
      <c r="L18" s="49"/>
      <c r="M18" s="119">
        <v>3419</v>
      </c>
      <c r="N18" s="119"/>
      <c r="O18" s="119"/>
      <c r="P18" s="109">
        <f t="shared" ref="P18:P31" si="6">MAX(M18:O18)</f>
        <v>3419</v>
      </c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1:35" ht="13.2" customHeight="1" x14ac:dyDescent="0.25">
      <c r="A19" s="51">
        <f t="shared" ca="1" si="0"/>
        <v>0.32710495132202755</v>
      </c>
      <c r="B19" s="52">
        <v>2</v>
      </c>
      <c r="C19" s="52">
        <v>19</v>
      </c>
      <c r="D19" s="115" t="e">
        <f>VLOOKUP(C19,Уч!$A$2:$K$25,2,FALSE)</f>
        <v>#N/A</v>
      </c>
      <c r="E19" s="162" t="e">
        <f>VLOOKUP(C19,Уч!$A$2:$K$25,3,FALSE)</f>
        <v>#N/A</v>
      </c>
      <c r="F19" s="120" t="e">
        <f>VLOOKUP(C19,Уч!$A$2:$K$25,5,FALSE)</f>
        <v>#N/A</v>
      </c>
      <c r="G19" s="357">
        <f t="shared" si="1"/>
        <v>38.32</v>
      </c>
      <c r="H19" s="357">
        <f t="shared" si="2"/>
        <v>0</v>
      </c>
      <c r="I19" s="357">
        <f t="shared" si="3"/>
        <v>0</v>
      </c>
      <c r="J19" s="339">
        <f t="shared" si="4"/>
        <v>38.32</v>
      </c>
      <c r="K19" s="47">
        <f t="shared" si="5"/>
        <v>635</v>
      </c>
      <c r="L19" s="49"/>
      <c r="M19" s="119">
        <v>3832</v>
      </c>
      <c r="N19" s="119"/>
      <c r="O19" s="119"/>
      <c r="P19" s="109">
        <f t="shared" si="6"/>
        <v>3832</v>
      </c>
    </row>
    <row r="20" spans="1:35" ht="13.2" customHeight="1" x14ac:dyDescent="0.25">
      <c r="A20" s="51">
        <f t="shared" ca="1" si="0"/>
        <v>0.35918296345660128</v>
      </c>
      <c r="B20" s="52">
        <v>3</v>
      </c>
      <c r="C20" s="52">
        <v>64</v>
      </c>
      <c r="D20" s="115" t="str">
        <f>VLOOKUP(C20,Уч!$A$2:$K$25,2,FALSE)</f>
        <v>Дерган Евгения</v>
      </c>
      <c r="E20" s="162" t="str">
        <f>VLOOKUP(C20,Уч!$A$2:$K$25,3,FALSE)</f>
        <v>11.04.1994</v>
      </c>
      <c r="F20" s="120" t="str">
        <f>VLOOKUP(C20,Уч!$A$2:$K$25,5,FALSE)</f>
        <v xml:space="preserve">Республика Адыгея  </v>
      </c>
      <c r="G20" s="357">
        <f t="shared" si="1"/>
        <v>38.68</v>
      </c>
      <c r="H20" s="357">
        <f t="shared" si="2"/>
        <v>0</v>
      </c>
      <c r="I20" s="357">
        <f t="shared" si="3"/>
        <v>0</v>
      </c>
      <c r="J20" s="339">
        <f t="shared" si="4"/>
        <v>38.68</v>
      </c>
      <c r="K20" s="47">
        <f t="shared" si="5"/>
        <v>642</v>
      </c>
      <c r="L20" s="49"/>
      <c r="M20" s="119">
        <v>3868</v>
      </c>
      <c r="N20" s="119"/>
      <c r="O20" s="119"/>
      <c r="P20" s="109">
        <f t="shared" si="6"/>
        <v>3868</v>
      </c>
    </row>
    <row r="21" spans="1:35" ht="13.2" customHeight="1" x14ac:dyDescent="0.25">
      <c r="A21" s="51">
        <f t="shared" ca="1" si="0"/>
        <v>0.89521166150675546</v>
      </c>
      <c r="B21" s="52">
        <v>4</v>
      </c>
      <c r="C21" s="52">
        <v>27</v>
      </c>
      <c r="D21" s="115" t="e">
        <f>VLOOKUP(C21,Уч!$A$2:$K$25,2,FALSE)</f>
        <v>#N/A</v>
      </c>
      <c r="E21" s="162" t="e">
        <f>VLOOKUP(C21,Уч!$A$2:$K$25,3,FALSE)</f>
        <v>#N/A</v>
      </c>
      <c r="F21" s="120" t="e">
        <f>VLOOKUP(C21,Уч!$A$2:$K$25,5,FALSE)</f>
        <v>#N/A</v>
      </c>
      <c r="G21" s="357">
        <f t="shared" si="1"/>
        <v>39.369999999999997</v>
      </c>
      <c r="H21" s="357">
        <f t="shared" si="2"/>
        <v>0</v>
      </c>
      <c r="I21" s="357">
        <f t="shared" si="3"/>
        <v>0</v>
      </c>
      <c r="J21" s="339">
        <f t="shared" si="4"/>
        <v>39.369999999999997</v>
      </c>
      <c r="K21" s="47">
        <f t="shared" si="5"/>
        <v>655</v>
      </c>
      <c r="L21" s="49"/>
      <c r="M21" s="119">
        <v>3937</v>
      </c>
      <c r="N21" s="119"/>
      <c r="O21" s="119"/>
      <c r="P21" s="109">
        <f t="shared" si="6"/>
        <v>3937</v>
      </c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</row>
    <row r="22" spans="1:35" ht="13.2" customHeight="1" x14ac:dyDescent="0.25">
      <c r="A22" s="51">
        <f t="shared" ca="1" si="0"/>
        <v>0.74325728279289871</v>
      </c>
      <c r="B22" s="52">
        <v>5</v>
      </c>
      <c r="C22" s="52">
        <v>38</v>
      </c>
      <c r="D22" s="115" t="e">
        <f>VLOOKUP(C22,Уч!$A$2:$K$25,2,FALSE)</f>
        <v>#N/A</v>
      </c>
      <c r="E22" s="162" t="e">
        <f>VLOOKUP(C22,Уч!$A$2:$K$25,3,FALSE)</f>
        <v>#N/A</v>
      </c>
      <c r="F22" s="120" t="e">
        <f>VLOOKUP(C22,Уч!$A$2:$K$25,5,FALSE)</f>
        <v>#N/A</v>
      </c>
      <c r="G22" s="357">
        <f t="shared" si="1"/>
        <v>41.32</v>
      </c>
      <c r="H22" s="357">
        <f t="shared" si="2"/>
        <v>0</v>
      </c>
      <c r="I22" s="357">
        <f t="shared" si="3"/>
        <v>0</v>
      </c>
      <c r="J22" s="339">
        <f t="shared" si="4"/>
        <v>41.32</v>
      </c>
      <c r="K22" s="47">
        <f t="shared" si="5"/>
        <v>693</v>
      </c>
      <c r="L22" s="49"/>
      <c r="M22" s="119">
        <v>4132</v>
      </c>
      <c r="N22" s="119"/>
      <c r="O22" s="119"/>
      <c r="P22" s="109">
        <f t="shared" si="6"/>
        <v>4132</v>
      </c>
    </row>
    <row r="23" spans="1:35" ht="13.2" customHeight="1" x14ac:dyDescent="0.25">
      <c r="A23" s="51">
        <f t="shared" ca="1" si="0"/>
        <v>8.1686843623251182E-2</v>
      </c>
      <c r="B23" s="52">
        <v>6</v>
      </c>
      <c r="C23" s="52">
        <v>21</v>
      </c>
      <c r="D23" s="115" t="e">
        <f>VLOOKUP(C23,Уч!$A$2:$K$25,2,FALSE)</f>
        <v>#N/A</v>
      </c>
      <c r="E23" s="162" t="e">
        <f>VLOOKUP(C23,Уч!$A$2:$K$25,3,FALSE)</f>
        <v>#N/A</v>
      </c>
      <c r="F23" s="120" t="e">
        <f>VLOOKUP(C23,Уч!$A$2:$K$25,5,FALSE)</f>
        <v>#N/A</v>
      </c>
      <c r="G23" s="357">
        <f t="shared" si="1"/>
        <v>32.57</v>
      </c>
      <c r="H23" s="357">
        <f t="shared" si="2"/>
        <v>0</v>
      </c>
      <c r="I23" s="357">
        <f t="shared" si="3"/>
        <v>0</v>
      </c>
      <c r="J23" s="339">
        <f t="shared" si="4"/>
        <v>32.57</v>
      </c>
      <c r="K23" s="47">
        <f t="shared" si="5"/>
        <v>525</v>
      </c>
      <c r="L23" s="49"/>
      <c r="M23" s="119">
        <v>3257</v>
      </c>
      <c r="N23" s="119"/>
      <c r="O23" s="119"/>
      <c r="P23" s="109">
        <f t="shared" si="6"/>
        <v>3257</v>
      </c>
    </row>
    <row r="24" spans="1:35" ht="13.2" customHeight="1" x14ac:dyDescent="0.25">
      <c r="A24" s="51">
        <f t="shared" ca="1" si="0"/>
        <v>0.65256220906565454</v>
      </c>
      <c r="B24" s="52">
        <v>7</v>
      </c>
      <c r="C24" s="52">
        <v>76</v>
      </c>
      <c r="D24" s="115" t="e">
        <f>VLOOKUP(C24,Уч!$A$2:$K$25,2,FALSE)</f>
        <v>#N/A</v>
      </c>
      <c r="E24" s="162" t="e">
        <f>VLOOKUP(C24,Уч!$A$2:$K$25,3,FALSE)</f>
        <v>#N/A</v>
      </c>
      <c r="F24" s="120" t="e">
        <f>VLOOKUP(C24,Уч!$A$2:$K$25,5,FALSE)</f>
        <v>#N/A</v>
      </c>
      <c r="G24" s="357">
        <f t="shared" si="1"/>
        <v>30.17</v>
      </c>
      <c r="H24" s="357">
        <f t="shared" si="2"/>
        <v>0</v>
      </c>
      <c r="I24" s="357">
        <f t="shared" si="3"/>
        <v>0</v>
      </c>
      <c r="J24" s="339">
        <f t="shared" si="4"/>
        <v>30.17</v>
      </c>
      <c r="K24" s="47">
        <f t="shared" si="5"/>
        <v>480</v>
      </c>
      <c r="L24" s="49"/>
      <c r="M24" s="119">
        <v>3017</v>
      </c>
      <c r="N24" s="119"/>
      <c r="O24" s="119"/>
      <c r="P24" s="109">
        <f t="shared" si="6"/>
        <v>3017</v>
      </c>
    </row>
    <row r="25" spans="1:35" ht="13.2" customHeight="1" x14ac:dyDescent="0.25">
      <c r="A25" s="51">
        <f t="shared" ca="1" si="0"/>
        <v>0.61642610408144405</v>
      </c>
      <c r="B25" s="52">
        <v>8</v>
      </c>
      <c r="C25" s="52">
        <v>37</v>
      </c>
      <c r="D25" s="115" t="e">
        <f>VLOOKUP(C25,Уч!$A$2:$K$25,2,FALSE)</f>
        <v>#N/A</v>
      </c>
      <c r="E25" s="162" t="e">
        <f>VLOOKUP(C25,Уч!$A$2:$K$25,3,FALSE)</f>
        <v>#N/A</v>
      </c>
      <c r="F25" s="120" t="e">
        <f>VLOOKUP(C25,Уч!$A$2:$K$25,5,FALSE)</f>
        <v>#N/A</v>
      </c>
      <c r="G25" s="357">
        <f t="shared" si="1"/>
        <v>39.270000000000003</v>
      </c>
      <c r="H25" s="357">
        <f t="shared" si="2"/>
        <v>0</v>
      </c>
      <c r="I25" s="357">
        <f t="shared" si="3"/>
        <v>0</v>
      </c>
      <c r="J25" s="339">
        <f t="shared" si="4"/>
        <v>39.270000000000003</v>
      </c>
      <c r="K25" s="47">
        <f t="shared" si="5"/>
        <v>653</v>
      </c>
      <c r="L25" s="49"/>
      <c r="M25" s="119">
        <v>3927</v>
      </c>
      <c r="N25" s="119"/>
      <c r="O25" s="119"/>
      <c r="P25" s="109">
        <f t="shared" si="6"/>
        <v>3927</v>
      </c>
      <c r="Q25" s="37"/>
      <c r="R25" s="37"/>
      <c r="S25" s="37"/>
      <c r="T25" s="48"/>
      <c r="U25" s="48"/>
    </row>
    <row r="26" spans="1:35" ht="13.2" customHeight="1" x14ac:dyDescent="0.25">
      <c r="A26" s="51">
        <f t="shared" ca="1" si="0"/>
        <v>0.4076250071185622</v>
      </c>
      <c r="B26" s="52">
        <v>9</v>
      </c>
      <c r="C26" s="52">
        <v>14</v>
      </c>
      <c r="D26" s="115" t="e">
        <f>VLOOKUP(C26,Уч!$A$2:$K$25,2,FALSE)</f>
        <v>#N/A</v>
      </c>
      <c r="E26" s="162" t="e">
        <f>VLOOKUP(C26,Уч!$A$2:$K$25,3,FALSE)</f>
        <v>#N/A</v>
      </c>
      <c r="F26" s="120" t="e">
        <f>VLOOKUP(C26,Уч!$A$2:$K$25,5,FALSE)</f>
        <v>#N/A</v>
      </c>
      <c r="G26" s="357">
        <f t="shared" si="1"/>
        <v>31.55</v>
      </c>
      <c r="H26" s="357">
        <f t="shared" si="2"/>
        <v>0</v>
      </c>
      <c r="I26" s="357">
        <f t="shared" si="3"/>
        <v>0</v>
      </c>
      <c r="J26" s="339">
        <f t="shared" si="4"/>
        <v>31.55</v>
      </c>
      <c r="K26" s="47">
        <f t="shared" si="5"/>
        <v>506</v>
      </c>
      <c r="L26" s="49"/>
      <c r="M26" s="119">
        <v>3155</v>
      </c>
      <c r="N26" s="119"/>
      <c r="O26" s="119"/>
      <c r="P26" s="109">
        <f t="shared" si="6"/>
        <v>3155</v>
      </c>
    </row>
    <row r="27" spans="1:35" ht="13.2" customHeight="1" x14ac:dyDescent="0.25">
      <c r="A27" s="51">
        <f t="shared" ca="1" si="0"/>
        <v>7.8564510367189255E-2</v>
      </c>
      <c r="B27" s="52">
        <v>10</v>
      </c>
      <c r="C27" s="52">
        <v>87</v>
      </c>
      <c r="D27" s="115" t="e">
        <f>VLOOKUP(C27,Уч!$A$2:$K$25,2,FALSE)</f>
        <v>#N/A</v>
      </c>
      <c r="E27" s="162" t="e">
        <f>VLOOKUP(C27,Уч!$A$2:$K$25,3,FALSE)</f>
        <v>#N/A</v>
      </c>
      <c r="F27" s="120" t="e">
        <f>VLOOKUP(C27,Уч!$A$2:$K$25,5,FALSE)</f>
        <v>#N/A</v>
      </c>
      <c r="G27" s="357">
        <f t="shared" si="1"/>
        <v>34.119999999999997</v>
      </c>
      <c r="H27" s="357">
        <f t="shared" si="2"/>
        <v>0</v>
      </c>
      <c r="I27" s="357">
        <f t="shared" si="3"/>
        <v>0</v>
      </c>
      <c r="J27" s="339">
        <f t="shared" si="4"/>
        <v>34.119999999999997</v>
      </c>
      <c r="K27" s="47">
        <f t="shared" si="5"/>
        <v>555</v>
      </c>
      <c r="L27" s="49"/>
      <c r="M27" s="119">
        <v>3412</v>
      </c>
      <c r="N27" s="119"/>
      <c r="O27" s="119"/>
      <c r="P27" s="109">
        <f t="shared" si="6"/>
        <v>3412</v>
      </c>
    </row>
    <row r="28" spans="1:35" ht="13.2" customHeight="1" x14ac:dyDescent="0.25">
      <c r="A28" s="51">
        <f t="shared" ca="1" si="0"/>
        <v>0.34769371980807706</v>
      </c>
      <c r="B28" s="52">
        <v>11</v>
      </c>
      <c r="C28" s="52">
        <v>61</v>
      </c>
      <c r="D28" s="115" t="str">
        <f>VLOOKUP(C28,Уч!$A$2:$K$25,2,FALSE)</f>
        <v>Ладикан Юлия</v>
      </c>
      <c r="E28" s="162" t="str">
        <f>VLOOKUP(C28,Уч!$A$2:$K$25,3,FALSE)</f>
        <v>15.04.1999</v>
      </c>
      <c r="F28" s="120" t="str">
        <f>VLOOKUP(C28,Уч!$A$2:$K$25,5,FALSE)</f>
        <v xml:space="preserve">Кемеровская область  </v>
      </c>
      <c r="G28" s="357">
        <f t="shared" si="1"/>
        <v>31.2</v>
      </c>
      <c r="H28" s="357">
        <f t="shared" si="2"/>
        <v>0</v>
      </c>
      <c r="I28" s="357">
        <f t="shared" si="3"/>
        <v>0</v>
      </c>
      <c r="J28" s="339">
        <f t="shared" si="4"/>
        <v>31.2</v>
      </c>
      <c r="K28" s="47">
        <f t="shared" si="5"/>
        <v>499</v>
      </c>
      <c r="L28" s="49"/>
      <c r="M28" s="119">
        <v>3120</v>
      </c>
      <c r="N28" s="119"/>
      <c r="O28" s="119"/>
      <c r="P28" s="109">
        <f t="shared" si="6"/>
        <v>3120</v>
      </c>
    </row>
    <row r="29" spans="1:35" ht="13.2" customHeight="1" x14ac:dyDescent="0.25">
      <c r="A29" s="51">
        <f t="shared" ca="1" si="0"/>
        <v>0.61864299927209365</v>
      </c>
      <c r="B29" s="52">
        <v>12</v>
      </c>
      <c r="C29" s="52">
        <v>71</v>
      </c>
      <c r="D29" s="115" t="e">
        <f>VLOOKUP(C29,Уч!$A$2:$K$25,2,FALSE)</f>
        <v>#N/A</v>
      </c>
      <c r="E29" s="162" t="e">
        <f>VLOOKUP(C29,Уч!$A$2:$K$25,3,FALSE)</f>
        <v>#N/A</v>
      </c>
      <c r="F29" s="120" t="e">
        <f>VLOOKUP(C29,Уч!$A$2:$K$25,5,FALSE)</f>
        <v>#N/A</v>
      </c>
      <c r="G29" s="357">
        <f t="shared" si="1"/>
        <v>42.82</v>
      </c>
      <c r="H29" s="357">
        <f t="shared" si="2"/>
        <v>0</v>
      </c>
      <c r="I29" s="357">
        <f t="shared" si="3"/>
        <v>0</v>
      </c>
      <c r="J29" s="339">
        <f t="shared" si="4"/>
        <v>42.82</v>
      </c>
      <c r="K29" s="47">
        <f t="shared" si="5"/>
        <v>721</v>
      </c>
      <c r="L29" s="49"/>
      <c r="M29" s="119">
        <v>4282</v>
      </c>
      <c r="N29" s="119"/>
      <c r="O29" s="119"/>
      <c r="P29" s="109">
        <f t="shared" si="6"/>
        <v>4282</v>
      </c>
    </row>
    <row r="30" spans="1:35" ht="13.2" customHeight="1" x14ac:dyDescent="0.25">
      <c r="A30" s="51">
        <f t="shared" ca="1" si="0"/>
        <v>6.2090326267158935E-2</v>
      </c>
      <c r="B30" s="52">
        <v>13</v>
      </c>
      <c r="C30" s="52">
        <v>30</v>
      </c>
      <c r="D30" s="115" t="e">
        <f>VLOOKUP(C30,Уч!$A$2:$K$25,2,FALSE)</f>
        <v>#N/A</v>
      </c>
      <c r="E30" s="162" t="e">
        <f>VLOOKUP(C30,Уч!$A$2:$K$25,3,FALSE)</f>
        <v>#N/A</v>
      </c>
      <c r="F30" s="120" t="e">
        <f>VLOOKUP(C30,Уч!$A$2:$K$25,5,FALSE)</f>
        <v>#N/A</v>
      </c>
      <c r="G30" s="357">
        <f t="shared" si="1"/>
        <v>41.26</v>
      </c>
      <c r="H30" s="357">
        <f t="shared" si="2"/>
        <v>0</v>
      </c>
      <c r="I30" s="357">
        <f t="shared" si="3"/>
        <v>0</v>
      </c>
      <c r="J30" s="339">
        <f t="shared" si="4"/>
        <v>41.26</v>
      </c>
      <c r="K30" s="47">
        <f t="shared" si="5"/>
        <v>691</v>
      </c>
      <c r="L30" s="49"/>
      <c r="M30" s="119">
        <v>4126</v>
      </c>
      <c r="N30" s="119"/>
      <c r="O30" s="119"/>
      <c r="P30" s="109">
        <f t="shared" si="6"/>
        <v>4126</v>
      </c>
    </row>
    <row r="31" spans="1:35" ht="13.2" customHeight="1" x14ac:dyDescent="0.25">
      <c r="A31" s="147">
        <f t="shared" ca="1" si="0"/>
        <v>0.57331083641684188</v>
      </c>
      <c r="B31" s="331"/>
      <c r="C31" s="331"/>
      <c r="D31" s="332"/>
      <c r="E31" s="354"/>
      <c r="F31" s="334"/>
      <c r="G31" s="336"/>
      <c r="H31" s="336"/>
      <c r="I31" s="336"/>
      <c r="J31" s="355"/>
      <c r="K31" s="108">
        <f t="shared" si="5"/>
        <v>0</v>
      </c>
      <c r="L31" s="49"/>
      <c r="M31" s="119"/>
      <c r="N31" s="119"/>
      <c r="O31" s="119"/>
      <c r="P31" s="109">
        <f t="shared" si="6"/>
        <v>0</v>
      </c>
    </row>
    <row r="32" spans="1:35" s="50" customFormat="1" ht="16.05" customHeight="1" outlineLevel="1" x14ac:dyDescent="0.25">
      <c r="A32" s="147">
        <f t="shared" ref="A32:A39" ca="1" si="7">RAND()</f>
        <v>0.26539485023093279</v>
      </c>
      <c r="B32" s="294" t="s">
        <v>148</v>
      </c>
      <c r="C32" s="315"/>
      <c r="D32" s="332"/>
      <c r="E32" s="354"/>
      <c r="F32" s="334"/>
      <c r="G32" s="336"/>
      <c r="H32" s="336"/>
      <c r="I32" s="336"/>
      <c r="J32" s="320"/>
      <c r="K32" s="110">
        <f t="shared" ref="K32:K39" si="8">IF(P32&lt;388,0,IF(P32=0,0,ROUNDDOWN(15.9803*(P32/100-3.8)^1.04,0)))</f>
        <v>0</v>
      </c>
      <c r="L32" s="49"/>
      <c r="M32" s="119"/>
      <c r="N32" s="119"/>
      <c r="O32" s="119"/>
      <c r="P32" s="109">
        <f t="shared" ref="P32:P39" si="9">MAX(M32:O32)</f>
        <v>0</v>
      </c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s="50" customFormat="1" ht="16.05" customHeight="1" outlineLevel="1" x14ac:dyDescent="0.25">
      <c r="A33" s="147">
        <f t="shared" ca="1" si="7"/>
        <v>0.74705490170421018</v>
      </c>
      <c r="B33" s="294" t="s">
        <v>151</v>
      </c>
      <c r="C33" s="315"/>
      <c r="D33" s="332"/>
      <c r="E33" s="354"/>
      <c r="F33" s="334"/>
      <c r="G33" s="336"/>
      <c r="H33" s="336"/>
      <c r="I33" s="336"/>
      <c r="J33" s="320"/>
      <c r="K33" s="110">
        <f t="shared" si="8"/>
        <v>0</v>
      </c>
      <c r="L33" s="49"/>
      <c r="M33" s="119"/>
      <c r="N33" s="119"/>
      <c r="O33" s="119"/>
      <c r="P33" s="109">
        <f t="shared" si="9"/>
        <v>0</v>
      </c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s="50" customFormat="1" ht="16.05" customHeight="1" outlineLevel="1" x14ac:dyDescent="0.25">
      <c r="A34" s="147">
        <f t="shared" ca="1" si="7"/>
        <v>0.8621690930488336</v>
      </c>
      <c r="B34" s="294" t="s">
        <v>152</v>
      </c>
      <c r="C34" s="315"/>
      <c r="D34" s="332"/>
      <c r="E34" s="354"/>
      <c r="F34" s="334"/>
      <c r="G34" s="336"/>
      <c r="H34" s="336">
        <f t="shared" ref="H34:H39" si="10">N34/100</f>
        <v>0</v>
      </c>
      <c r="I34" s="336">
        <f t="shared" ref="I34:I39" si="11">O34/100</f>
        <v>0</v>
      </c>
      <c r="J34" s="320">
        <f t="shared" ref="J34:J39" si="12">P34/100</f>
        <v>0</v>
      </c>
      <c r="K34" s="110">
        <f t="shared" si="8"/>
        <v>0</v>
      </c>
      <c r="L34" s="49"/>
      <c r="M34" s="119"/>
      <c r="N34" s="119"/>
      <c r="O34" s="119"/>
      <c r="P34" s="109">
        <f t="shared" si="9"/>
        <v>0</v>
      </c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s="50" customFormat="1" outlineLevel="1" x14ac:dyDescent="0.25">
      <c r="A35" s="51">
        <f t="shared" ca="1" si="7"/>
        <v>0.61900812711780784</v>
      </c>
      <c r="B35" s="324">
        <v>19</v>
      </c>
      <c r="C35" s="166">
        <v>1416</v>
      </c>
      <c r="D35" s="325" t="e">
        <f>VLOOKUP(C35,Уч!$A$2:$K$25,2,FALSE)</f>
        <v>#N/A</v>
      </c>
      <c r="E35" s="351" t="e">
        <f>VLOOKUP(C35,Уч!$A$2:$K$25,3,FALSE)</f>
        <v>#N/A</v>
      </c>
      <c r="F35" s="327" t="e">
        <f>VLOOKUP(C35,Уч!$A$2:$K$25,5,FALSE)</f>
        <v>#N/A</v>
      </c>
      <c r="G35" s="329">
        <f t="shared" ref="G35:G39" si="13">M35/100</f>
        <v>0</v>
      </c>
      <c r="H35" s="329">
        <f t="shared" si="10"/>
        <v>0</v>
      </c>
      <c r="I35" s="352">
        <f t="shared" si="11"/>
        <v>0</v>
      </c>
      <c r="J35" s="353">
        <f t="shared" si="12"/>
        <v>0</v>
      </c>
      <c r="K35" s="58">
        <f t="shared" si="8"/>
        <v>0</v>
      </c>
      <c r="L35" s="49"/>
      <c r="M35" s="119"/>
      <c r="N35" s="119"/>
      <c r="O35" s="119"/>
      <c r="P35" s="109">
        <f t="shared" si="9"/>
        <v>0</v>
      </c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x14ac:dyDescent="0.25">
      <c r="A36" s="51">
        <f t="shared" ca="1" si="7"/>
        <v>0.60538144415101225</v>
      </c>
      <c r="B36" s="52">
        <v>20</v>
      </c>
      <c r="C36" s="51">
        <v>1336</v>
      </c>
      <c r="D36" s="115" t="e">
        <f>VLOOKUP(C36,Уч!$A$2:$K$25,2,FALSE)</f>
        <v>#N/A</v>
      </c>
      <c r="E36" s="162" t="e">
        <f>VLOOKUP(C36,Уч!$A$2:$K$25,3,FALSE)</f>
        <v>#N/A</v>
      </c>
      <c r="F36" s="120" t="e">
        <f>VLOOKUP(C36,Уч!$A$2:$K$25,5,FALSE)</f>
        <v>#N/A</v>
      </c>
      <c r="G36" s="118">
        <f t="shared" si="13"/>
        <v>0</v>
      </c>
      <c r="H36" s="118">
        <f t="shared" si="10"/>
        <v>0</v>
      </c>
      <c r="I36" s="163">
        <f t="shared" si="11"/>
        <v>0</v>
      </c>
      <c r="J36" s="167">
        <f t="shared" si="12"/>
        <v>0</v>
      </c>
      <c r="K36" s="58">
        <f t="shared" si="8"/>
        <v>0</v>
      </c>
      <c r="L36" s="49"/>
      <c r="M36" s="119"/>
      <c r="N36" s="119"/>
      <c r="O36" s="119"/>
      <c r="P36" s="109">
        <f t="shared" si="9"/>
        <v>0</v>
      </c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</row>
    <row r="37" spans="1:35" x14ac:dyDescent="0.25">
      <c r="A37" s="51">
        <f t="shared" ca="1" si="7"/>
        <v>0.14047623460200098</v>
      </c>
      <c r="B37" s="52">
        <v>21</v>
      </c>
      <c r="C37" s="51">
        <v>1324</v>
      </c>
      <c r="D37" s="115" t="e">
        <f>VLOOKUP(C37,Уч!$A$2:$K$25,2,FALSE)</f>
        <v>#N/A</v>
      </c>
      <c r="E37" s="162" t="e">
        <f>VLOOKUP(C37,Уч!$A$2:$K$25,3,FALSE)</f>
        <v>#N/A</v>
      </c>
      <c r="F37" s="120" t="e">
        <f>VLOOKUP(C37,Уч!$A$2:$K$25,5,FALSE)</f>
        <v>#N/A</v>
      </c>
      <c r="G37" s="118">
        <f t="shared" si="13"/>
        <v>0</v>
      </c>
      <c r="H37" s="118">
        <f t="shared" si="10"/>
        <v>0</v>
      </c>
      <c r="I37" s="163">
        <f t="shared" si="11"/>
        <v>0</v>
      </c>
      <c r="J37" s="167">
        <f t="shared" si="12"/>
        <v>0</v>
      </c>
      <c r="K37" s="58">
        <f t="shared" si="8"/>
        <v>0</v>
      </c>
      <c r="L37" s="49"/>
      <c r="M37" s="119"/>
      <c r="N37" s="119"/>
      <c r="O37" s="119"/>
      <c r="P37" s="109">
        <f t="shared" si="9"/>
        <v>0</v>
      </c>
    </row>
    <row r="38" spans="1:35" x14ac:dyDescent="0.25">
      <c r="A38" s="51">
        <f t="shared" ca="1" si="7"/>
        <v>0.67913551443598874</v>
      </c>
      <c r="B38" s="52">
        <v>22</v>
      </c>
      <c r="C38" s="51">
        <v>1348</v>
      </c>
      <c r="D38" s="115" t="e">
        <f>VLOOKUP(C38,Уч!$A$2:$K$25,2,FALSE)</f>
        <v>#N/A</v>
      </c>
      <c r="E38" s="162" t="e">
        <f>VLOOKUP(C38,Уч!$A$2:$K$25,3,FALSE)</f>
        <v>#N/A</v>
      </c>
      <c r="F38" s="120" t="e">
        <f>VLOOKUP(C38,Уч!$A$2:$K$25,5,FALSE)</f>
        <v>#N/A</v>
      </c>
      <c r="G38" s="118">
        <f t="shared" si="13"/>
        <v>0</v>
      </c>
      <c r="H38" s="118">
        <f t="shared" si="10"/>
        <v>0</v>
      </c>
      <c r="I38" s="163">
        <f t="shared" si="11"/>
        <v>0</v>
      </c>
      <c r="J38" s="167">
        <f t="shared" si="12"/>
        <v>0</v>
      </c>
      <c r="K38" s="58">
        <f t="shared" si="8"/>
        <v>0</v>
      </c>
      <c r="L38" s="49"/>
      <c r="M38" s="119"/>
      <c r="N38" s="119"/>
      <c r="O38" s="119"/>
      <c r="P38" s="109">
        <f t="shared" si="9"/>
        <v>0</v>
      </c>
    </row>
    <row r="39" spans="1:35" x14ac:dyDescent="0.25">
      <c r="A39" s="51">
        <f t="shared" ca="1" si="7"/>
        <v>0.27613336607955963</v>
      </c>
      <c r="B39" s="52">
        <v>23</v>
      </c>
      <c r="C39" s="51">
        <v>1379</v>
      </c>
      <c r="D39" s="115" t="e">
        <f>VLOOKUP(C39,Уч!$A$2:$K$25,2,FALSE)</f>
        <v>#N/A</v>
      </c>
      <c r="E39" s="162" t="e">
        <f>VLOOKUP(C39,Уч!$A$2:$K$25,3,FALSE)</f>
        <v>#N/A</v>
      </c>
      <c r="F39" s="120" t="e">
        <f>VLOOKUP(C39,Уч!$A$2:$K$25,5,FALSE)</f>
        <v>#N/A</v>
      </c>
      <c r="G39" s="118">
        <f t="shared" si="13"/>
        <v>0</v>
      </c>
      <c r="H39" s="118">
        <f t="shared" si="10"/>
        <v>0</v>
      </c>
      <c r="I39" s="163">
        <f t="shared" si="11"/>
        <v>0</v>
      </c>
      <c r="J39" s="167">
        <f t="shared" si="12"/>
        <v>0</v>
      </c>
      <c r="K39" s="58">
        <f t="shared" si="8"/>
        <v>0</v>
      </c>
      <c r="L39" s="49"/>
      <c r="M39" s="119"/>
      <c r="N39" s="119"/>
      <c r="O39" s="119"/>
      <c r="P39" s="109">
        <f t="shared" si="9"/>
        <v>0</v>
      </c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</row>
  </sheetData>
  <sortState ref="A17:AI30">
    <sortCondition ref="A17:A30"/>
  </sortState>
  <mergeCells count="7">
    <mergeCell ref="B1:J1"/>
    <mergeCell ref="B3:J3"/>
    <mergeCell ref="B4:J4"/>
    <mergeCell ref="B6:J6"/>
    <mergeCell ref="B7:J7"/>
    <mergeCell ref="B5:J5"/>
    <mergeCell ref="B2:J2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scale="105" orientation="landscape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L57"/>
  <sheetViews>
    <sheetView view="pageBreakPreview" zoomScaleSheetLayoutView="100" workbookViewId="0">
      <selection activeCell="I25" sqref="I25"/>
    </sheetView>
  </sheetViews>
  <sheetFormatPr defaultColWidth="9.109375" defaultRowHeight="13.2" outlineLevelRow="1" outlineLevelCol="1" x14ac:dyDescent="0.25"/>
  <cols>
    <col min="1" max="1" width="9" style="24" customWidth="1" outlineLevel="1"/>
    <col min="2" max="2" width="6.33203125" style="24" customWidth="1"/>
    <col min="3" max="3" width="8" style="37" customWidth="1"/>
    <col min="4" max="4" width="22.6640625" style="24" customWidth="1"/>
    <col min="5" max="5" width="8.109375" style="24" bestFit="1" customWidth="1"/>
    <col min="6" max="6" width="26.109375" style="24" customWidth="1"/>
    <col min="7" max="7" width="11.109375" style="24" customWidth="1"/>
    <col min="8" max="8" width="9.44140625" style="38" customWidth="1"/>
    <col min="9" max="9" width="9.88671875" style="24" bestFit="1" customWidth="1"/>
    <col min="10" max="10" width="9.33203125" style="37" bestFit="1" customWidth="1" outlineLevel="1"/>
    <col min="11" max="11" width="8.109375" style="24" bestFit="1" customWidth="1" outlineLevel="1"/>
    <col min="12" max="16384" width="9.109375" style="24"/>
  </cols>
  <sheetData>
    <row r="1" spans="1:11" ht="13.2" customHeight="1" x14ac:dyDescent="0.25">
      <c r="A1" s="196"/>
      <c r="B1" s="443" t="s">
        <v>80</v>
      </c>
      <c r="C1" s="443"/>
      <c r="D1" s="443"/>
      <c r="E1" s="443"/>
      <c r="F1" s="443"/>
      <c r="G1" s="443"/>
      <c r="H1" s="443"/>
      <c r="J1" s="40"/>
      <c r="K1" s="168"/>
    </row>
    <row r="2" spans="1:11" ht="13.2" customHeight="1" x14ac:dyDescent="0.25">
      <c r="A2" s="196"/>
      <c r="B2" s="443" t="s">
        <v>10</v>
      </c>
      <c r="C2" s="443"/>
      <c r="D2" s="443"/>
      <c r="E2" s="443"/>
      <c r="F2" s="443"/>
      <c r="G2" s="443"/>
      <c r="H2" s="443"/>
      <c r="J2" s="40"/>
      <c r="K2" s="168"/>
    </row>
    <row r="3" spans="1:11" ht="13.2" customHeight="1" x14ac:dyDescent="0.25">
      <c r="A3" s="196"/>
      <c r="B3" s="443" t="s">
        <v>97</v>
      </c>
      <c r="C3" s="443"/>
      <c r="D3" s="443"/>
      <c r="E3" s="443"/>
      <c r="F3" s="443"/>
      <c r="G3" s="443"/>
      <c r="H3" s="443"/>
      <c r="J3" s="40"/>
      <c r="K3" s="168"/>
    </row>
    <row r="4" spans="1:11" ht="13.2" customHeight="1" x14ac:dyDescent="0.25">
      <c r="A4" s="196"/>
      <c r="B4" s="443" t="s">
        <v>99</v>
      </c>
      <c r="C4" s="443"/>
      <c r="D4" s="443"/>
      <c r="E4" s="443"/>
      <c r="F4" s="443"/>
      <c r="G4" s="443"/>
      <c r="H4" s="443"/>
      <c r="J4" s="40"/>
      <c r="K4" s="168"/>
    </row>
    <row r="5" spans="1:11" ht="13.2" customHeight="1" x14ac:dyDescent="0.25">
      <c r="A5" s="197"/>
      <c r="B5" s="443" t="s">
        <v>100</v>
      </c>
      <c r="C5" s="443"/>
      <c r="D5" s="443"/>
      <c r="E5" s="443"/>
      <c r="F5" s="443"/>
      <c r="G5" s="443"/>
      <c r="H5" s="443"/>
      <c r="J5" s="40"/>
      <c r="K5" s="168"/>
    </row>
    <row r="6" spans="1:11" ht="13.2" customHeight="1" x14ac:dyDescent="0.25">
      <c r="A6" s="197"/>
      <c r="B6" s="443" t="s">
        <v>12</v>
      </c>
      <c r="C6" s="443"/>
      <c r="D6" s="443"/>
      <c r="E6" s="443"/>
      <c r="F6" s="443"/>
      <c r="G6" s="443"/>
      <c r="H6" s="443"/>
      <c r="J6" s="40"/>
      <c r="K6" s="168"/>
    </row>
    <row r="7" spans="1:11" ht="13.2" customHeight="1" x14ac:dyDescent="0.25">
      <c r="A7" s="195"/>
      <c r="B7" s="443" t="s">
        <v>110</v>
      </c>
      <c r="C7" s="443"/>
      <c r="D7" s="443"/>
      <c r="E7" s="443"/>
      <c r="F7" s="443"/>
      <c r="G7" s="443"/>
      <c r="H7" s="443"/>
      <c r="J7" s="40"/>
      <c r="K7" s="168"/>
    </row>
    <row r="8" spans="1:11" ht="13.2" hidden="1" customHeight="1" x14ac:dyDescent="0.3">
      <c r="C8" s="45"/>
      <c r="D8" s="37"/>
      <c r="G8" s="41"/>
      <c r="H8" s="41"/>
      <c r="J8" s="40"/>
      <c r="K8" s="168"/>
    </row>
    <row r="9" spans="1:11" ht="13.2" hidden="1" customHeight="1" x14ac:dyDescent="0.25">
      <c r="C9" s="42"/>
      <c r="D9" s="21"/>
      <c r="G9" s="41"/>
      <c r="H9" s="113"/>
      <c r="J9" s="43" t="s">
        <v>22</v>
      </c>
      <c r="K9" s="168"/>
    </row>
    <row r="10" spans="1:11" ht="13.2" hidden="1" customHeight="1" outlineLevel="1" x14ac:dyDescent="0.3">
      <c r="C10" s="44"/>
      <c r="D10" s="37"/>
      <c r="E10" s="37"/>
      <c r="F10" s="161"/>
      <c r="H10" s="24"/>
      <c r="J10" s="43" t="s">
        <v>23</v>
      </c>
      <c r="K10" s="168"/>
    </row>
    <row r="11" spans="1:11" ht="13.2" hidden="1" customHeight="1" x14ac:dyDescent="0.3">
      <c r="C11" s="44"/>
      <c r="D11" s="37"/>
      <c r="E11" s="37"/>
      <c r="G11" s="60"/>
      <c r="H11" s="24"/>
      <c r="J11" s="43" t="s">
        <v>24</v>
      </c>
      <c r="K11" s="168"/>
    </row>
    <row r="12" spans="1:11" ht="13.2" customHeight="1" outlineLevel="1" x14ac:dyDescent="0.3">
      <c r="A12" s="188"/>
      <c r="B12" s="188" t="str">
        <f>Расп!A6</f>
        <v>19.05.2019 г.</v>
      </c>
      <c r="C12" s="44"/>
      <c r="D12" s="37"/>
      <c r="E12" s="37"/>
      <c r="G12" s="192" t="str">
        <f>Расп!B1</f>
        <v>Начало:</v>
      </c>
      <c r="H12" s="190">
        <f>Расп!B9</f>
        <v>0.75694444444444453</v>
      </c>
      <c r="J12" s="40"/>
      <c r="K12" s="168"/>
    </row>
    <row r="13" spans="1:11" ht="13.2" customHeight="1" x14ac:dyDescent="0.3">
      <c r="B13" s="198" t="str">
        <f>Расп!A26</f>
        <v>г.Сочи, Адлерский район, стадион "Юность"</v>
      </c>
      <c r="C13" s="44"/>
      <c r="D13" s="37"/>
      <c r="E13" s="37"/>
      <c r="G13" s="192" t="str">
        <f>Расп!C1</f>
        <v>Окончание:</v>
      </c>
      <c r="H13" s="191"/>
      <c r="J13" s="40"/>
      <c r="K13" s="168"/>
    </row>
    <row r="14" spans="1:11" s="48" customFormat="1" ht="21.6" customHeight="1" x14ac:dyDescent="0.25">
      <c r="A14" s="46" t="s">
        <v>37</v>
      </c>
      <c r="B14" s="193" t="s">
        <v>112</v>
      </c>
      <c r="C14" s="193" t="s">
        <v>113</v>
      </c>
      <c r="D14" s="193" t="s">
        <v>114</v>
      </c>
      <c r="E14" s="193" t="s">
        <v>115</v>
      </c>
      <c r="F14" s="194" t="s">
        <v>116</v>
      </c>
      <c r="G14" s="46" t="s">
        <v>18</v>
      </c>
      <c r="H14" s="47" t="s">
        <v>29</v>
      </c>
      <c r="J14" s="43" t="s">
        <v>28</v>
      </c>
      <c r="K14" s="169" t="s">
        <v>30</v>
      </c>
    </row>
    <row r="15" spans="1:11" s="48" customFormat="1" ht="13.2" hidden="1" customHeight="1" x14ac:dyDescent="0.25">
      <c r="H15" s="49"/>
      <c r="J15" s="43"/>
      <c r="K15" s="169"/>
    </row>
    <row r="16" spans="1:11" s="48" customFormat="1" ht="13.2" hidden="1" customHeight="1" x14ac:dyDescent="0.25">
      <c r="D16" s="48" t="s">
        <v>20</v>
      </c>
      <c r="H16" s="49"/>
      <c r="J16" s="43"/>
      <c r="K16" s="169"/>
    </row>
    <row r="17" spans="1:12" s="48" customFormat="1" ht="13.2" customHeight="1" x14ac:dyDescent="0.25">
      <c r="A17" s="51">
        <f t="shared" ref="A17:A29" si="0">IF(J17=0,"",RANK(H17,$H$17:$H$33,0))</f>
        <v>12</v>
      </c>
      <c r="B17" s="52">
        <v>1</v>
      </c>
      <c r="C17" s="52">
        <v>13</v>
      </c>
      <c r="D17" s="115" t="e">
        <f>VLOOKUP(C17,Уч!$A$2:$K$25,2,FALSE)</f>
        <v>#N/A</v>
      </c>
      <c r="E17" s="162" t="e">
        <f>VLOOKUP(C17,Уч!$A$2:$K$25,3,FALSE)</f>
        <v>#N/A</v>
      </c>
      <c r="F17" s="120" t="e">
        <f>VLOOKUP(C17,Уч!$A$2:$K$25,5,FALSE)</f>
        <v>#N/A</v>
      </c>
      <c r="G17" s="130" t="str">
        <f t="shared" ref="G17:G27" si="1">IF(J17=0,0,CONCATENATE(MID(J17,1,1),":",MID(J17,2,2),".",MID(J17,4,2)))</f>
        <v>2:35.01</v>
      </c>
      <c r="H17" s="128">
        <f>IF(J17&gt;41079,0,IF(K17=0,0,ROUNDDOWN(0.11193*(254-K17)^1.88,0)))</f>
        <v>631</v>
      </c>
      <c r="J17" s="40">
        <v>23501</v>
      </c>
      <c r="K17" s="170" t="str">
        <f t="shared" ref="K17:K29" si="2">IF(J17=0,0,CONCATENATE((MID(J17,1,1)*60)+MID(J17,2,2),",",MID(J17,4,2)))</f>
        <v>155,01</v>
      </c>
      <c r="L17" s="37"/>
    </row>
    <row r="18" spans="1:12" ht="13.2" customHeight="1" x14ac:dyDescent="0.25">
      <c r="A18" s="51">
        <f t="shared" si="0"/>
        <v>7</v>
      </c>
      <c r="B18" s="52">
        <v>2</v>
      </c>
      <c r="C18" s="52">
        <v>61</v>
      </c>
      <c r="D18" s="171" t="str">
        <f>VLOOKUP(C18,Уч!$A$2:$K$25,2,FALSE)</f>
        <v>Ладикан Юлия</v>
      </c>
      <c r="E18" s="162" t="str">
        <f>VLOOKUP(C18,Уч!$A$2:$K$25,3,FALSE)</f>
        <v>15.04.1999</v>
      </c>
      <c r="F18" s="120" t="str">
        <f>VLOOKUP(C18,Уч!$A$2:$K$25,5,FALSE)</f>
        <v xml:space="preserve">Кемеровская область  </v>
      </c>
      <c r="G18" s="130" t="str">
        <f t="shared" si="1"/>
        <v>2:24.02</v>
      </c>
      <c r="H18" s="128">
        <f>IF(J18&gt;41079,0,IF(K18=0,0,ROUNDDOWN(0.11193*(254-K18)^1.88,0)))</f>
        <v>770</v>
      </c>
      <c r="J18" s="40">
        <v>22402</v>
      </c>
      <c r="K18" s="170" t="str">
        <f t="shared" si="2"/>
        <v>144,02</v>
      </c>
    </row>
    <row r="19" spans="1:12" ht="13.2" customHeight="1" x14ac:dyDescent="0.25">
      <c r="A19" s="51">
        <f t="shared" si="0"/>
        <v>9</v>
      </c>
      <c r="B19" s="52" t="s">
        <v>163</v>
      </c>
      <c r="C19" s="52">
        <v>76</v>
      </c>
      <c r="D19" s="115" t="e">
        <f>VLOOKUP(C19,Уч!$A$2:$K$25,2,FALSE)</f>
        <v>#N/A</v>
      </c>
      <c r="E19" s="162" t="e">
        <f>VLOOKUP(C19,Уч!$A$2:$K$25,3,FALSE)</f>
        <v>#N/A</v>
      </c>
      <c r="F19" s="120" t="e">
        <f>VLOOKUP(C19,Уч!$A$2:$K$25,5,FALSE)</f>
        <v>#N/A</v>
      </c>
      <c r="G19" s="130" t="str">
        <f t="shared" si="1"/>
        <v>2:25.27</v>
      </c>
      <c r="H19" s="128">
        <f t="shared" ref="H19:H27" si="3">IF(J19&gt;41079,0,IF(K19=0,0,ROUNDDOWN(0.11193*(254-K19)^1.88,0)))</f>
        <v>753</v>
      </c>
      <c r="J19" s="40">
        <v>22527</v>
      </c>
      <c r="K19" s="170" t="str">
        <f t="shared" si="2"/>
        <v>145,27</v>
      </c>
    </row>
    <row r="20" spans="1:12" ht="13.2" customHeight="1" x14ac:dyDescent="0.25">
      <c r="A20" s="51">
        <f t="shared" si="0"/>
        <v>3</v>
      </c>
      <c r="B20" s="52">
        <v>3</v>
      </c>
      <c r="C20" s="52">
        <v>30</v>
      </c>
      <c r="D20" s="115" t="e">
        <f>VLOOKUP(C20,Уч!$A$2:$K$25,2,FALSE)</f>
        <v>#N/A</v>
      </c>
      <c r="E20" s="162" t="e">
        <f>VLOOKUP(C20,Уч!$A$2:$K$25,3,FALSE)</f>
        <v>#N/A</v>
      </c>
      <c r="F20" s="120" t="e">
        <f>VLOOKUP(C20,Уч!$A$2:$K$25,5,FALSE)</f>
        <v>#N/A</v>
      </c>
      <c r="G20" s="130" t="str">
        <f t="shared" si="1"/>
        <v>2:16.00</v>
      </c>
      <c r="H20" s="128">
        <f t="shared" si="3"/>
        <v>879</v>
      </c>
      <c r="J20" s="40">
        <v>21600</v>
      </c>
      <c r="K20" s="170" t="str">
        <f t="shared" si="2"/>
        <v>136,00</v>
      </c>
    </row>
    <row r="21" spans="1:12" ht="13.2" customHeight="1" x14ac:dyDescent="0.25">
      <c r="A21" s="51">
        <f t="shared" si="0"/>
        <v>1</v>
      </c>
      <c r="B21" s="52">
        <v>4</v>
      </c>
      <c r="C21" s="52">
        <v>19</v>
      </c>
      <c r="D21" s="115" t="e">
        <f>VLOOKUP(C21,Уч!$A$2:$K$25,2,FALSE)</f>
        <v>#N/A</v>
      </c>
      <c r="E21" s="162" t="e">
        <f>VLOOKUP(C21,Уч!$A$2:$K$25,3,FALSE)</f>
        <v>#N/A</v>
      </c>
      <c r="F21" s="120" t="e">
        <f>VLOOKUP(C21,Уч!$A$2:$K$25,5,FALSE)</f>
        <v>#N/A</v>
      </c>
      <c r="G21" s="130" t="str">
        <f t="shared" si="1"/>
        <v>2:15.47</v>
      </c>
      <c r="H21" s="128">
        <f t="shared" si="3"/>
        <v>886</v>
      </c>
      <c r="J21" s="40">
        <v>21547</v>
      </c>
      <c r="K21" s="170" t="str">
        <f t="shared" si="2"/>
        <v>135,47</v>
      </c>
    </row>
    <row r="22" spans="1:12" ht="13.2" customHeight="1" x14ac:dyDescent="0.25">
      <c r="A22" s="51">
        <f t="shared" si="0"/>
        <v>8</v>
      </c>
      <c r="B22" s="52" t="s">
        <v>164</v>
      </c>
      <c r="C22" s="52">
        <v>27</v>
      </c>
      <c r="D22" s="115" t="e">
        <f>VLOOKUP(C22,Уч!$A$2:$K$25,2,FALSE)</f>
        <v>#N/A</v>
      </c>
      <c r="E22" s="162" t="e">
        <f>VLOOKUP(C22,Уч!$A$2:$K$25,3,FALSE)</f>
        <v>#N/A</v>
      </c>
      <c r="F22" s="120" t="e">
        <f>VLOOKUP(C22,Уч!$A$2:$K$25,5,FALSE)</f>
        <v>#N/A</v>
      </c>
      <c r="G22" s="130" t="str">
        <f t="shared" si="1"/>
        <v>2:25.05</v>
      </c>
      <c r="H22" s="128">
        <f t="shared" si="3"/>
        <v>756</v>
      </c>
      <c r="J22" s="40">
        <v>22505</v>
      </c>
      <c r="K22" s="170" t="str">
        <f t="shared" si="2"/>
        <v>145,05</v>
      </c>
    </row>
    <row r="23" spans="1:12" ht="13.2" hidden="1" customHeight="1" x14ac:dyDescent="0.25">
      <c r="A23" s="51" t="str">
        <f t="shared" si="0"/>
        <v/>
      </c>
      <c r="B23" s="394"/>
      <c r="C23" s="394"/>
      <c r="D23" s="394" t="s">
        <v>64</v>
      </c>
      <c r="E23" s="394"/>
      <c r="F23" s="394"/>
      <c r="G23" s="394"/>
      <c r="H23" s="49"/>
      <c r="J23" s="40"/>
      <c r="K23" s="170">
        <f t="shared" si="2"/>
        <v>0</v>
      </c>
    </row>
    <row r="24" spans="1:12" ht="13.2" customHeight="1" x14ac:dyDescent="0.25">
      <c r="A24" s="51">
        <f t="shared" si="0"/>
        <v>2</v>
      </c>
      <c r="B24" s="52">
        <v>5</v>
      </c>
      <c r="C24" s="52">
        <v>71</v>
      </c>
      <c r="D24" s="115" t="e">
        <f>VLOOKUP(C24,Уч!$A$2:$K$25,2,FALSE)</f>
        <v>#N/A</v>
      </c>
      <c r="E24" s="162" t="e">
        <f>VLOOKUP(C24,Уч!$A$2:$K$25,3,FALSE)</f>
        <v>#N/A</v>
      </c>
      <c r="F24" s="120" t="e">
        <f>VLOOKUP(C24,Уч!$A$2:$K$25,5,FALSE)</f>
        <v>#N/A</v>
      </c>
      <c r="G24" s="130" t="str">
        <f t="shared" si="1"/>
        <v>2:15.90</v>
      </c>
      <c r="H24" s="128">
        <f t="shared" si="3"/>
        <v>880</v>
      </c>
      <c r="J24" s="40">
        <v>21590</v>
      </c>
      <c r="K24" s="170" t="str">
        <f t="shared" si="2"/>
        <v>135,90</v>
      </c>
    </row>
    <row r="25" spans="1:12" ht="13.2" customHeight="1" x14ac:dyDescent="0.25">
      <c r="A25" s="51">
        <f t="shared" si="0"/>
        <v>5</v>
      </c>
      <c r="B25" s="52">
        <v>6</v>
      </c>
      <c r="C25" s="52">
        <v>21</v>
      </c>
      <c r="D25" s="115" t="e">
        <f>VLOOKUP(C25,Уч!$A$2:$K$25,2,FALSE)</f>
        <v>#N/A</v>
      </c>
      <c r="E25" s="162" t="e">
        <f>VLOOKUP(C25,Уч!$A$2:$K$25,3,FALSE)</f>
        <v>#N/A</v>
      </c>
      <c r="F25" s="120" t="e">
        <f>VLOOKUP(C25,Уч!$A$2:$K$25,5,FALSE)</f>
        <v>#N/A</v>
      </c>
      <c r="G25" s="130" t="str">
        <f t="shared" si="1"/>
        <v>2:16.94</v>
      </c>
      <c r="H25" s="128">
        <f t="shared" si="3"/>
        <v>866</v>
      </c>
      <c r="J25" s="40">
        <v>21694</v>
      </c>
      <c r="K25" s="170" t="str">
        <f t="shared" si="2"/>
        <v>136,94</v>
      </c>
      <c r="L25" s="24" t="s">
        <v>96</v>
      </c>
    </row>
    <row r="26" spans="1:12" ht="13.2" customHeight="1" x14ac:dyDescent="0.25">
      <c r="A26" s="51">
        <f t="shared" si="0"/>
        <v>6</v>
      </c>
      <c r="B26" s="52" t="s">
        <v>165</v>
      </c>
      <c r="C26" s="52">
        <v>87</v>
      </c>
      <c r="D26" s="115" t="e">
        <f>VLOOKUP(C26,Уч!$A$2:$K$25,2,FALSE)</f>
        <v>#N/A</v>
      </c>
      <c r="E26" s="162" t="e">
        <f>VLOOKUP(C26,Уч!$A$2:$K$25,3,FALSE)</f>
        <v>#N/A</v>
      </c>
      <c r="F26" s="120" t="e">
        <f>VLOOKUP(C26,Уч!$A$2:$K$25,5,FALSE)</f>
        <v>#N/A</v>
      </c>
      <c r="G26" s="130" t="str">
        <f t="shared" si="1"/>
        <v>2:22.10</v>
      </c>
      <c r="H26" s="128">
        <f t="shared" si="3"/>
        <v>795</v>
      </c>
      <c r="J26" s="40">
        <v>22210</v>
      </c>
      <c r="K26" s="170" t="str">
        <f t="shared" si="2"/>
        <v>142,10</v>
      </c>
    </row>
    <row r="27" spans="1:12" ht="13.2" customHeight="1" x14ac:dyDescent="0.25">
      <c r="A27" s="51">
        <f t="shared" si="0"/>
        <v>4</v>
      </c>
      <c r="B27" s="52">
        <v>7</v>
      </c>
      <c r="C27" s="52">
        <v>37</v>
      </c>
      <c r="D27" s="115" t="e">
        <f>VLOOKUP(C27,Уч!$A$2:$K$25,2,FALSE)</f>
        <v>#N/A</v>
      </c>
      <c r="E27" s="162" t="e">
        <f>VLOOKUP(C27,Уч!$A$2:$K$25,3,FALSE)</f>
        <v>#N/A</v>
      </c>
      <c r="F27" s="120" t="e">
        <f>VLOOKUP(C27,Уч!$A$2:$K$25,5,FALSE)</f>
        <v>#N/A</v>
      </c>
      <c r="G27" s="130" t="str">
        <f t="shared" si="1"/>
        <v>2:16.34</v>
      </c>
      <c r="H27" s="128">
        <f t="shared" si="3"/>
        <v>874</v>
      </c>
      <c r="J27" s="40">
        <v>21634</v>
      </c>
      <c r="K27" s="170" t="str">
        <f t="shared" si="2"/>
        <v>136,34</v>
      </c>
    </row>
    <row r="28" spans="1:12" s="395" customFormat="1" ht="13.2" customHeight="1" x14ac:dyDescent="0.25">
      <c r="A28" s="315">
        <f t="shared" si="0"/>
        <v>11</v>
      </c>
      <c r="B28" s="52">
        <v>8</v>
      </c>
      <c r="C28" s="52">
        <v>64</v>
      </c>
      <c r="D28" s="115" t="str">
        <f>VLOOKUP(C28,Уч!$A$2:$K$25,2,FALSE)</f>
        <v>Дерган Евгения</v>
      </c>
      <c r="E28" s="162" t="str">
        <f>VLOOKUP(C28,Уч!$A$2:$K$25,3,FALSE)</f>
        <v>11.04.1994</v>
      </c>
      <c r="F28" s="120" t="str">
        <f>VLOOKUP(C28,Уч!$A$2:$K$25,5,FALSE)</f>
        <v xml:space="preserve">Республика Адыгея  </v>
      </c>
      <c r="G28" s="130" t="str">
        <f t="shared" ref="G28:G29" si="4">IF(J28=0,0,CONCATENATE(MID(J28,1,1),":",MID(J28,2,2),".",MID(J28,4,2)))</f>
        <v>2:32.13</v>
      </c>
      <c r="H28" s="128">
        <f t="shared" ref="H28:H29" si="5">IF(J28&gt;41079,0,IF(K28=0,0,ROUNDDOWN(0.11193*(254-K28)^1.88,0)))</f>
        <v>666</v>
      </c>
      <c r="J28" s="40">
        <v>23213</v>
      </c>
      <c r="K28" s="170" t="str">
        <f t="shared" si="2"/>
        <v>152,13</v>
      </c>
    </row>
    <row r="29" spans="1:12" s="395" customFormat="1" ht="13.2" customHeight="1" x14ac:dyDescent="0.25">
      <c r="A29" s="315">
        <f t="shared" si="0"/>
        <v>10</v>
      </c>
      <c r="B29" s="52" t="s">
        <v>166</v>
      </c>
      <c r="C29" s="52">
        <v>14</v>
      </c>
      <c r="D29" s="115" t="e">
        <f>VLOOKUP(C29,Уч!$A$2:$K$25,2,FALSE)</f>
        <v>#N/A</v>
      </c>
      <c r="E29" s="162" t="e">
        <f>VLOOKUP(C29,Уч!$A$2:$K$25,3,FALSE)</f>
        <v>#N/A</v>
      </c>
      <c r="F29" s="120" t="e">
        <f>VLOOKUP(C29,Уч!$A$2:$K$25,5,FALSE)</f>
        <v>#N/A</v>
      </c>
      <c r="G29" s="130" t="str">
        <f t="shared" si="4"/>
        <v>2:30.92</v>
      </c>
      <c r="H29" s="128">
        <f t="shared" si="5"/>
        <v>681</v>
      </c>
      <c r="J29" s="40">
        <v>23092</v>
      </c>
      <c r="K29" s="170" t="str">
        <f t="shared" si="2"/>
        <v>150,92</v>
      </c>
    </row>
    <row r="30" spans="1:12" s="395" customFormat="1" ht="13.2" customHeight="1" x14ac:dyDescent="0.25">
      <c r="A30" s="315"/>
      <c r="B30" s="331"/>
      <c r="C30" s="331"/>
      <c r="D30" s="332"/>
      <c r="E30" s="354"/>
      <c r="F30" s="334"/>
      <c r="G30" s="373"/>
      <c r="H30" s="360"/>
      <c r="J30" s="40"/>
      <c r="K30" s="396"/>
    </row>
    <row r="31" spans="1:12" s="395" customFormat="1" ht="16.05" customHeight="1" x14ac:dyDescent="0.25">
      <c r="A31" s="315"/>
      <c r="B31" s="294" t="s">
        <v>148</v>
      </c>
      <c r="C31" s="331"/>
      <c r="D31" s="332"/>
      <c r="E31" s="354"/>
      <c r="F31" s="334"/>
      <c r="G31" s="373"/>
      <c r="H31" s="360"/>
      <c r="J31" s="40"/>
      <c r="K31" s="396"/>
    </row>
    <row r="32" spans="1:12" s="395" customFormat="1" ht="16.05" customHeight="1" x14ac:dyDescent="0.25">
      <c r="A32" s="315"/>
      <c r="B32" s="294" t="s">
        <v>151</v>
      </c>
      <c r="C32" s="331"/>
      <c r="D32" s="332"/>
      <c r="E32" s="354"/>
      <c r="F32" s="334"/>
      <c r="G32" s="373"/>
      <c r="H32" s="360"/>
      <c r="J32" s="40"/>
      <c r="K32" s="396"/>
    </row>
    <row r="33" spans="1:12" s="48" customFormat="1" ht="16.05" customHeight="1" x14ac:dyDescent="0.25">
      <c r="B33" s="294" t="s">
        <v>152</v>
      </c>
      <c r="C33" s="131"/>
      <c r="D33" s="172"/>
      <c r="E33" s="172"/>
      <c r="F33" s="172"/>
      <c r="G33" s="173"/>
      <c r="H33" s="174"/>
      <c r="J33" s="43"/>
      <c r="K33" s="169"/>
    </row>
    <row r="34" spans="1:12" s="48" customFormat="1" x14ac:dyDescent="0.25">
      <c r="B34" s="131"/>
      <c r="C34" s="131"/>
      <c r="D34" s="172" t="s">
        <v>64</v>
      </c>
      <c r="E34" s="172"/>
      <c r="F34" s="172"/>
      <c r="G34" s="173"/>
      <c r="H34" s="174"/>
      <c r="J34" s="43"/>
      <c r="K34" s="169"/>
    </row>
    <row r="35" spans="1:12" x14ac:dyDescent="0.25">
      <c r="A35" s="51" t="str">
        <f t="shared" ref="A35:A42" si="6">IF(J35=0,"",RANK(H35,$H$17:$H$33,0))</f>
        <v/>
      </c>
      <c r="B35" s="52">
        <v>1</v>
      </c>
      <c r="C35" s="52"/>
      <c r="D35" s="124" t="e">
        <f>VLOOKUP(C35,Уч!$A$2:$K$25,2,FALSE)</f>
        <v>#N/A</v>
      </c>
      <c r="E35" s="164" t="e">
        <f>VLOOKUP(C35,Уч!$A$2:$K$25,3,FALSE)</f>
        <v>#N/A</v>
      </c>
      <c r="F35" s="165" t="e">
        <f>VLOOKUP(C35,Уч!$A$2:$K$25,5,FALSE)</f>
        <v>#N/A</v>
      </c>
      <c r="G35" s="175">
        <f t="shared" ref="G35:G39" si="7">IF(J35=0,0,CONCATENATE(MID(J35,1,1),":",MID(J35,2,2),".",MID(J35,4,2)))</f>
        <v>0</v>
      </c>
      <c r="H35" s="176">
        <f t="shared" ref="H35:H39" si="8">IF(J35&gt;41079,0,IF(K35=0,0,ROUNDDOWN(0.11193*(254-K35)^1.88,0)))</f>
        <v>0</v>
      </c>
      <c r="J35" s="40"/>
      <c r="K35" s="170">
        <f t="shared" ref="K35:K39" si="9">IF(J35=0,0,CONCATENATE((MID(J35,1,1)*60)+MID(J35,2,2),".",MID(J35,4,2)))</f>
        <v>0</v>
      </c>
    </row>
    <row r="36" spans="1:12" x14ac:dyDescent="0.25">
      <c r="A36" s="51" t="str">
        <f t="shared" si="6"/>
        <v/>
      </c>
      <c r="B36" s="52">
        <v>2</v>
      </c>
      <c r="C36" s="52"/>
      <c r="D36" s="115" t="e">
        <f>VLOOKUP(C36,Уч!$A$2:$K$25,2,FALSE)</f>
        <v>#N/A</v>
      </c>
      <c r="E36" s="162" t="e">
        <f>VLOOKUP(C36,Уч!$A$2:$K$25,3,FALSE)</f>
        <v>#N/A</v>
      </c>
      <c r="F36" s="117" t="e">
        <f>VLOOKUP(C36,Уч!$A$2:$K$25,5,FALSE)</f>
        <v>#N/A</v>
      </c>
      <c r="G36" s="175">
        <f t="shared" si="7"/>
        <v>0</v>
      </c>
      <c r="H36" s="176">
        <f t="shared" si="8"/>
        <v>0</v>
      </c>
      <c r="J36" s="40"/>
      <c r="K36" s="170">
        <f t="shared" si="9"/>
        <v>0</v>
      </c>
    </row>
    <row r="37" spans="1:12" x14ac:dyDescent="0.25">
      <c r="A37" s="51" t="str">
        <f t="shared" si="6"/>
        <v/>
      </c>
      <c r="B37" s="52">
        <v>3</v>
      </c>
      <c r="C37" s="102"/>
      <c r="D37" s="115" t="e">
        <f>VLOOKUP(C37,Уч!$A$2:$K$25,2,FALSE)</f>
        <v>#N/A</v>
      </c>
      <c r="E37" s="162" t="e">
        <f>VLOOKUP(C37,Уч!$A$2:$K$25,3,FALSE)</f>
        <v>#N/A</v>
      </c>
      <c r="F37" s="117" t="e">
        <f>VLOOKUP(C37,Уч!$A$2:$K$25,5,FALSE)</f>
        <v>#N/A</v>
      </c>
      <c r="G37" s="175">
        <f t="shared" si="7"/>
        <v>0</v>
      </c>
      <c r="H37" s="176">
        <f t="shared" si="8"/>
        <v>0</v>
      </c>
      <c r="J37" s="40"/>
      <c r="K37" s="170">
        <f t="shared" si="9"/>
        <v>0</v>
      </c>
    </row>
    <row r="38" spans="1:12" x14ac:dyDescent="0.25">
      <c r="A38" s="51" t="str">
        <f t="shared" si="6"/>
        <v/>
      </c>
      <c r="B38" s="52">
        <v>4</v>
      </c>
      <c r="C38" s="52"/>
      <c r="D38" s="115" t="e">
        <f>VLOOKUP(C38,Уч!$A$2:$K$25,2,FALSE)</f>
        <v>#N/A</v>
      </c>
      <c r="E38" s="162" t="e">
        <f>VLOOKUP(C38,Уч!$A$2:$K$25,3,FALSE)</f>
        <v>#N/A</v>
      </c>
      <c r="F38" s="117" t="e">
        <f>VLOOKUP(C38,Уч!$A$2:$K$25,5,FALSE)</f>
        <v>#N/A</v>
      </c>
      <c r="G38" s="175">
        <f t="shared" si="7"/>
        <v>0</v>
      </c>
      <c r="H38" s="176">
        <f t="shared" si="8"/>
        <v>0</v>
      </c>
      <c r="J38" s="40"/>
      <c r="K38" s="170">
        <f t="shared" si="9"/>
        <v>0</v>
      </c>
    </row>
    <row r="39" spans="1:12" x14ac:dyDescent="0.25">
      <c r="A39" s="51" t="str">
        <f t="shared" si="6"/>
        <v/>
      </c>
      <c r="B39" s="52">
        <v>5</v>
      </c>
      <c r="C39" s="52"/>
      <c r="D39" s="115" t="e">
        <f>VLOOKUP(C39,Уч!$A$2:$K$25,2,FALSE)</f>
        <v>#N/A</v>
      </c>
      <c r="E39" s="162" t="e">
        <f>VLOOKUP(C39,Уч!$A$2:$K$25,3,FALSE)</f>
        <v>#N/A</v>
      </c>
      <c r="F39" s="117" t="e">
        <f>VLOOKUP(C39,Уч!$A$2:$K$25,5,FALSE)</f>
        <v>#N/A</v>
      </c>
      <c r="G39" s="175">
        <f t="shared" si="7"/>
        <v>0</v>
      </c>
      <c r="H39" s="176">
        <f t="shared" si="8"/>
        <v>0</v>
      </c>
      <c r="J39" s="40"/>
      <c r="K39" s="170">
        <f t="shared" si="9"/>
        <v>0</v>
      </c>
    </row>
    <row r="40" spans="1:12" s="48" customFormat="1" x14ac:dyDescent="0.25">
      <c r="A40" s="51" t="str">
        <f t="shared" si="6"/>
        <v/>
      </c>
      <c r="B40" s="52">
        <v>6</v>
      </c>
      <c r="C40" s="52"/>
      <c r="D40" s="115" t="e">
        <f>VLOOKUP(C40,Уч!$A$2:$K$25,2,FALSE)</f>
        <v>#N/A</v>
      </c>
      <c r="E40" s="162" t="e">
        <f>VLOOKUP(C40,Уч!$A$2:$K$25,3,FALSE)</f>
        <v>#N/A</v>
      </c>
      <c r="F40" s="117" t="e">
        <f>VLOOKUP(C40,Уч!$A$2:$K$25,5,FALSE)</f>
        <v>#N/A</v>
      </c>
      <c r="G40" s="175">
        <f t="shared" ref="G40:G42" si="10">IF(J40=0,0,CONCATENATE(MID(J40,1,1),":",MID(J40,2,2),".",MID(J40,4,2)))</f>
        <v>0</v>
      </c>
      <c r="H40" s="176">
        <f>IF(J40&gt;41079,0,IF(K40=0,0,ROUNDDOWN(0.11193*(254-K40)^1.88,0)))</f>
        <v>0</v>
      </c>
      <c r="J40" s="40"/>
      <c r="K40" s="170">
        <f t="shared" ref="K40:K42" si="11">IF(J40=0,0,CONCATENATE((MID(J40,1,1)*60)+MID(J40,2,2),".",MID(J40,4,2)))</f>
        <v>0</v>
      </c>
      <c r="L40" s="37"/>
    </row>
    <row r="41" spans="1:12" x14ac:dyDescent="0.25">
      <c r="A41" s="51" t="str">
        <f t="shared" si="6"/>
        <v/>
      </c>
      <c r="B41" s="52">
        <v>7</v>
      </c>
      <c r="C41" s="102"/>
      <c r="D41" s="124" t="e">
        <f>VLOOKUP(C41,Уч!$A$2:$K$25,2,FALSE)</f>
        <v>#N/A</v>
      </c>
      <c r="E41" s="164" t="e">
        <f>VLOOKUP(C41,Уч!$A$2:$K$25,3,FALSE)</f>
        <v>#N/A</v>
      </c>
      <c r="F41" s="165" t="e">
        <f>VLOOKUP(C41,Уч!$A$2:$K$25,5,FALSE)</f>
        <v>#N/A</v>
      </c>
      <c r="G41" s="175">
        <f t="shared" si="10"/>
        <v>0</v>
      </c>
      <c r="H41" s="176">
        <f>IF(J41&gt;41079,0,IF(K41=0,0,ROUNDDOWN(0.11193*(254-K41)^1.88,0)))</f>
        <v>0</v>
      </c>
      <c r="J41" s="40"/>
      <c r="K41" s="170">
        <f t="shared" si="11"/>
        <v>0</v>
      </c>
    </row>
    <row r="42" spans="1:12" x14ac:dyDescent="0.25">
      <c r="A42" s="51" t="str">
        <f t="shared" si="6"/>
        <v/>
      </c>
      <c r="B42" s="52">
        <v>8</v>
      </c>
      <c r="C42" s="64"/>
      <c r="D42" s="124" t="e">
        <f>VLOOKUP(C42,Уч!$A$2:$K$25,2,FALSE)</f>
        <v>#N/A</v>
      </c>
      <c r="E42" s="164" t="e">
        <f>VLOOKUP(C42,Уч!$A$2:$K$25,3,FALSE)</f>
        <v>#N/A</v>
      </c>
      <c r="F42" s="165" t="e">
        <f>VLOOKUP(C42,Уч!$A$2:$K$25,5,FALSE)</f>
        <v>#N/A</v>
      </c>
      <c r="G42" s="175">
        <f t="shared" si="10"/>
        <v>0</v>
      </c>
      <c r="H42" s="176">
        <f t="shared" ref="H42" si="12">IF(J42&gt;41079,0,IF(K42=0,0,ROUNDDOWN(0.11193*(254-K42)^1.88,0)))</f>
        <v>0</v>
      </c>
      <c r="J42" s="40"/>
      <c r="K42" s="170">
        <f t="shared" si="11"/>
        <v>0</v>
      </c>
    </row>
    <row r="43" spans="1:12" s="48" customFormat="1" x14ac:dyDescent="0.25">
      <c r="B43" s="131"/>
      <c r="C43" s="131"/>
      <c r="D43" s="172"/>
      <c r="E43" s="172"/>
      <c r="F43" s="172"/>
      <c r="G43" s="173"/>
      <c r="H43" s="174"/>
      <c r="J43" s="43"/>
      <c r="K43" s="169"/>
    </row>
    <row r="44" spans="1:12" s="48" customFormat="1" x14ac:dyDescent="0.25">
      <c r="B44" s="131"/>
      <c r="C44" s="131"/>
      <c r="D44" s="172" t="s">
        <v>65</v>
      </c>
      <c r="E44" s="172"/>
      <c r="F44" s="172"/>
      <c r="G44" s="173"/>
      <c r="H44" s="174"/>
      <c r="J44" s="43"/>
      <c r="K44" s="169"/>
    </row>
    <row r="45" spans="1:12" x14ac:dyDescent="0.25">
      <c r="A45" s="51" t="str">
        <f t="shared" ref="A45:A52" si="13">IF(J45=0,"",RANK(H45,$H$17:$H$33,0))</f>
        <v/>
      </c>
      <c r="B45" s="52">
        <v>1</v>
      </c>
      <c r="C45" s="52">
        <v>42</v>
      </c>
      <c r="D45" s="124" t="e">
        <f>VLOOKUP(C45,Уч!$A$2:$K$25,2,FALSE)</f>
        <v>#N/A</v>
      </c>
      <c r="E45" s="164" t="e">
        <f>VLOOKUP(C45,Уч!$A$2:$K$25,3,FALSE)</f>
        <v>#N/A</v>
      </c>
      <c r="F45" s="165" t="e">
        <f>VLOOKUP(C45,Уч!$A$2:$K$25,5,FALSE)</f>
        <v>#N/A</v>
      </c>
      <c r="G45" s="175">
        <f t="shared" ref="G45:G52" si="14">IF(J45=0,0,CONCATENATE(MID(J45,1,1),":",MID(J45,2,2),".",MID(J45,4,2)))</f>
        <v>0</v>
      </c>
      <c r="H45" s="176">
        <f t="shared" ref="H45:H49" si="15">IF(J45&gt;41079,0,IF(K45=0,0,ROUNDDOWN(0.11193*(254-K45)^1.88,0)))</f>
        <v>0</v>
      </c>
      <c r="J45" s="40"/>
      <c r="K45" s="170">
        <f t="shared" ref="K45:K52" si="16">IF(J45=0,0,CONCATENATE((MID(J45,1,1)*60)+MID(J45,2,2),".",MID(J45,4,2)))</f>
        <v>0</v>
      </c>
    </row>
    <row r="46" spans="1:12" x14ac:dyDescent="0.25">
      <c r="A46" s="51" t="str">
        <f t="shared" si="13"/>
        <v/>
      </c>
      <c r="B46" s="52">
        <v>2</v>
      </c>
      <c r="C46" s="52">
        <v>49</v>
      </c>
      <c r="D46" s="124" t="e">
        <f>VLOOKUP(C46,Уч!$A$2:$K$25,2,FALSE)</f>
        <v>#N/A</v>
      </c>
      <c r="E46" s="164" t="e">
        <f>VLOOKUP(C46,Уч!$A$2:$K$25,3,FALSE)</f>
        <v>#N/A</v>
      </c>
      <c r="F46" s="165" t="e">
        <f>VLOOKUP(C46,Уч!$A$2:$K$25,5,FALSE)</f>
        <v>#N/A</v>
      </c>
      <c r="G46" s="175">
        <f t="shared" si="14"/>
        <v>0</v>
      </c>
      <c r="H46" s="176">
        <f t="shared" si="15"/>
        <v>0</v>
      </c>
      <c r="J46" s="40"/>
      <c r="K46" s="170">
        <f t="shared" si="16"/>
        <v>0</v>
      </c>
    </row>
    <row r="47" spans="1:12" x14ac:dyDescent="0.25">
      <c r="A47" s="51" t="str">
        <f t="shared" si="13"/>
        <v/>
      </c>
      <c r="B47" s="52">
        <v>3</v>
      </c>
      <c r="C47" s="52">
        <v>59</v>
      </c>
      <c r="D47" s="124" t="e">
        <f>VLOOKUP(C47,Уч!$A$2:$K$25,2,FALSE)</f>
        <v>#N/A</v>
      </c>
      <c r="E47" s="164" t="e">
        <f>VLOOKUP(C47,Уч!$A$2:$K$25,3,FALSE)</f>
        <v>#N/A</v>
      </c>
      <c r="F47" s="165" t="e">
        <f>VLOOKUP(C47,Уч!$A$2:$K$25,5,FALSE)</f>
        <v>#N/A</v>
      </c>
      <c r="G47" s="175">
        <f t="shared" si="14"/>
        <v>0</v>
      </c>
      <c r="H47" s="176">
        <f t="shared" si="15"/>
        <v>0</v>
      </c>
      <c r="J47" s="40"/>
      <c r="K47" s="170">
        <f t="shared" si="16"/>
        <v>0</v>
      </c>
    </row>
    <row r="48" spans="1:12" x14ac:dyDescent="0.25">
      <c r="A48" s="51" t="str">
        <f t="shared" si="13"/>
        <v/>
      </c>
      <c r="B48" s="52">
        <v>4</v>
      </c>
      <c r="C48" s="52">
        <v>1352</v>
      </c>
      <c r="D48" s="124" t="e">
        <f>VLOOKUP(C48,Уч!$A$2:$K$25,2,FALSE)</f>
        <v>#N/A</v>
      </c>
      <c r="E48" s="164" t="e">
        <f>VLOOKUP(C48,Уч!$A$2:$K$25,3,FALSE)</f>
        <v>#N/A</v>
      </c>
      <c r="F48" s="165" t="e">
        <f>VLOOKUP(C48,Уч!$A$2:$K$25,5,FALSE)</f>
        <v>#N/A</v>
      </c>
      <c r="G48" s="175">
        <f t="shared" si="14"/>
        <v>0</v>
      </c>
      <c r="H48" s="176">
        <f t="shared" si="15"/>
        <v>0</v>
      </c>
      <c r="J48" s="40"/>
      <c r="K48" s="170">
        <f t="shared" si="16"/>
        <v>0</v>
      </c>
    </row>
    <row r="49" spans="1:12" x14ac:dyDescent="0.25">
      <c r="A49" s="51" t="str">
        <f t="shared" si="13"/>
        <v/>
      </c>
      <c r="B49" s="52">
        <v>5</v>
      </c>
      <c r="C49" s="81">
        <v>1362</v>
      </c>
      <c r="D49" s="124" t="e">
        <f>VLOOKUP(C49,Уч!$A$2:$K$25,2,FALSE)</f>
        <v>#N/A</v>
      </c>
      <c r="E49" s="164" t="e">
        <f>VLOOKUP(C49,Уч!$A$2:$K$25,3,FALSE)</f>
        <v>#N/A</v>
      </c>
      <c r="F49" s="165" t="e">
        <f>VLOOKUP(C49,Уч!$A$2:$K$25,5,FALSE)</f>
        <v>#N/A</v>
      </c>
      <c r="G49" s="175">
        <f t="shared" si="14"/>
        <v>0</v>
      </c>
      <c r="H49" s="176">
        <f t="shared" si="15"/>
        <v>0</v>
      </c>
      <c r="J49" s="40"/>
      <c r="K49" s="170">
        <f t="shared" si="16"/>
        <v>0</v>
      </c>
    </row>
    <row r="50" spans="1:12" s="48" customFormat="1" x14ac:dyDescent="0.25">
      <c r="A50" s="51" t="str">
        <f t="shared" si="13"/>
        <v/>
      </c>
      <c r="B50" s="52">
        <v>6</v>
      </c>
      <c r="C50" s="81">
        <v>1375</v>
      </c>
      <c r="D50" s="124" t="e">
        <f>VLOOKUP(C50,Уч!$A$2:$K$25,2,FALSE)</f>
        <v>#N/A</v>
      </c>
      <c r="E50" s="164" t="e">
        <f>VLOOKUP(C50,Уч!$A$2:$K$25,3,FALSE)</f>
        <v>#N/A</v>
      </c>
      <c r="F50" s="165" t="e">
        <f>VLOOKUP(C50,Уч!$A$2:$K$25,5,FALSE)</f>
        <v>#N/A</v>
      </c>
      <c r="G50" s="175">
        <f t="shared" si="14"/>
        <v>0</v>
      </c>
      <c r="H50" s="176">
        <f>IF(J50&gt;41079,0,IF(K50=0,0,ROUNDDOWN(0.11193*(254-K50)^1.88,0)))</f>
        <v>0</v>
      </c>
      <c r="J50" s="40"/>
      <c r="K50" s="170">
        <f t="shared" si="16"/>
        <v>0</v>
      </c>
      <c r="L50" s="37"/>
    </row>
    <row r="51" spans="1:12" x14ac:dyDescent="0.25">
      <c r="A51" s="51" t="str">
        <f t="shared" si="13"/>
        <v/>
      </c>
      <c r="B51" s="52">
        <v>7</v>
      </c>
      <c r="C51" s="52">
        <v>1343</v>
      </c>
      <c r="D51" s="124" t="e">
        <f>VLOOKUP(C51,Уч!$A$2:$K$25,2,FALSE)</f>
        <v>#N/A</v>
      </c>
      <c r="E51" s="164" t="e">
        <f>VLOOKUP(C51,Уч!$A$2:$K$25,3,FALSE)</f>
        <v>#N/A</v>
      </c>
      <c r="F51" s="165" t="e">
        <f>VLOOKUP(C51,Уч!$A$2:$K$25,5,FALSE)</f>
        <v>#N/A</v>
      </c>
      <c r="G51" s="175">
        <f t="shared" si="14"/>
        <v>0</v>
      </c>
      <c r="H51" s="176">
        <f>IF(J51&gt;41079,0,IF(K51=0,0,ROUNDDOWN(0.11193*(254-K51)^1.88,0)))</f>
        <v>0</v>
      </c>
      <c r="J51" s="40"/>
      <c r="K51" s="170">
        <f t="shared" si="16"/>
        <v>0</v>
      </c>
    </row>
    <row r="52" spans="1:12" x14ac:dyDescent="0.25">
      <c r="A52" s="51" t="str">
        <f t="shared" si="13"/>
        <v/>
      </c>
      <c r="B52" s="52">
        <v>8</v>
      </c>
      <c r="C52" s="52">
        <v>1351</v>
      </c>
      <c r="D52" s="177" t="e">
        <f>VLOOKUP(C52,Уч!$A$2:$K$25,2,FALSE)</f>
        <v>#N/A</v>
      </c>
      <c r="E52" s="125" t="e">
        <f>VLOOKUP(C52,Уч!$A$2:$K$25,3,FALSE)</f>
        <v>#N/A</v>
      </c>
      <c r="F52" s="178" t="e">
        <f>VLOOKUP(C52,Уч!$A$2:$K$25,5,FALSE)</f>
        <v>#N/A</v>
      </c>
      <c r="G52" s="175">
        <f t="shared" si="14"/>
        <v>0</v>
      </c>
      <c r="H52" s="176">
        <f t="shared" ref="H52" si="17">IF(J52&gt;41079,0,IF(K52=0,0,ROUNDDOWN(0.11193*(254-K52)^1.88,0)))</f>
        <v>0</v>
      </c>
      <c r="J52" s="40"/>
      <c r="K52" s="170">
        <f t="shared" si="16"/>
        <v>0</v>
      </c>
    </row>
    <row r="53" spans="1:12" s="48" customFormat="1" x14ac:dyDescent="0.25">
      <c r="C53" s="52"/>
      <c r="D53" s="177" t="e">
        <f>VLOOKUP(C53,Уч!$A$2:$K$25,2,FALSE)</f>
        <v>#N/A</v>
      </c>
      <c r="E53" s="125" t="e">
        <f>VLOOKUP(C53,Уч!$A$2:$K$25,3,FALSE)</f>
        <v>#N/A</v>
      </c>
      <c r="F53" s="178" t="e">
        <f>VLOOKUP(C53,Уч!$A$2:$K$25,5,FALSE)</f>
        <v>#N/A</v>
      </c>
      <c r="G53" s="175">
        <f t="shared" ref="G53" si="18">IF(J53=0,0,CONCATENATE(MID(J53,1,1),":",MID(J53,2,2),".",MID(J53,4,2)))</f>
        <v>0</v>
      </c>
      <c r="H53" s="176">
        <f t="shared" ref="H53" si="19">IF(J53&gt;41079,0,IF(K53=0,0,ROUNDDOWN(0.11193*(254-K53)^1.88,0)))</f>
        <v>0</v>
      </c>
      <c r="J53" s="43"/>
      <c r="K53" s="170"/>
    </row>
    <row r="54" spans="1:12" x14ac:dyDescent="0.25">
      <c r="D54" s="177" t="e">
        <f>VLOOKUP(C54,Уч!$A$2:$K$25,2,FALSE)</f>
        <v>#N/A</v>
      </c>
      <c r="E54" s="125" t="e">
        <f>VLOOKUP(C54,Уч!$A$2:$K$25,3,FALSE)</f>
        <v>#N/A</v>
      </c>
      <c r="F54" s="178" t="e">
        <f>VLOOKUP(C54,Уч!$A$2:$K$25,5,FALSE)</f>
        <v>#N/A</v>
      </c>
      <c r="G54" s="175">
        <f t="shared" ref="G54:G57" si="20">IF(J54=0,0,CONCATENATE(MID(J54,1,1),":",MID(J54,2,2),".",MID(J54,4,2)))</f>
        <v>0</v>
      </c>
      <c r="H54" s="176">
        <f t="shared" ref="H54:H57" si="21">IF(J54&gt;41079,0,IF(K54=0,0,ROUNDDOWN(0.11193*(254-K54)^1.88,0)))</f>
        <v>0</v>
      </c>
    </row>
    <row r="55" spans="1:12" x14ac:dyDescent="0.25">
      <c r="D55" s="177" t="e">
        <f>VLOOKUP(C55,Уч!$A$2:$K$25,2,FALSE)</f>
        <v>#N/A</v>
      </c>
      <c r="E55" s="125" t="e">
        <f>VLOOKUP(C55,Уч!$A$2:$K$25,3,FALSE)</f>
        <v>#N/A</v>
      </c>
      <c r="F55" s="178" t="e">
        <f>VLOOKUP(C55,Уч!$A$2:$K$25,5,FALSE)</f>
        <v>#N/A</v>
      </c>
      <c r="G55" s="175">
        <f t="shared" si="20"/>
        <v>0</v>
      </c>
      <c r="H55" s="176">
        <f t="shared" si="21"/>
        <v>0</v>
      </c>
    </row>
    <row r="56" spans="1:12" x14ac:dyDescent="0.25">
      <c r="D56" s="177" t="e">
        <f>VLOOKUP(C56,Уч!$A$2:$K$25,2,FALSE)</f>
        <v>#N/A</v>
      </c>
      <c r="E56" s="125" t="e">
        <f>VLOOKUP(C56,Уч!$A$2:$K$25,3,FALSE)</f>
        <v>#N/A</v>
      </c>
      <c r="F56" s="178" t="e">
        <f>VLOOKUP(C56,Уч!$A$2:$K$25,5,FALSE)</f>
        <v>#N/A</v>
      </c>
      <c r="G56" s="175">
        <f t="shared" si="20"/>
        <v>0</v>
      </c>
      <c r="H56" s="176">
        <f t="shared" si="21"/>
        <v>0</v>
      </c>
    </row>
    <row r="57" spans="1:12" x14ac:dyDescent="0.25">
      <c r="D57" s="177" t="e">
        <f>VLOOKUP(C57,Уч!$A$2:$K$25,2,FALSE)</f>
        <v>#N/A</v>
      </c>
      <c r="E57" s="125" t="e">
        <f>VLOOKUP(C57,Уч!$A$2:$K$25,3,FALSE)</f>
        <v>#N/A</v>
      </c>
      <c r="F57" s="178" t="e">
        <f>VLOOKUP(C57,Уч!$A$2:$K$25,5,FALSE)</f>
        <v>#N/A</v>
      </c>
      <c r="G57" s="175">
        <f t="shared" si="20"/>
        <v>0</v>
      </c>
      <c r="H57" s="176">
        <f t="shared" si="21"/>
        <v>0</v>
      </c>
    </row>
  </sheetData>
  <mergeCells count="7">
    <mergeCell ref="B6:H6"/>
    <mergeCell ref="B7:H7"/>
    <mergeCell ref="B1:H1"/>
    <mergeCell ref="B2:H2"/>
    <mergeCell ref="B3:H3"/>
    <mergeCell ref="B4:H4"/>
    <mergeCell ref="B5:H5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scale="94" orientation="portrait" r:id="rId1"/>
  <headerFooter alignWithMargins="0">
    <oddHeader xml:space="preserve">&amp;C </oddHeader>
  </headerFooter>
  <colBreaks count="1" manualBreakCount="1">
    <brk id="8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D24"/>
  <sheetViews>
    <sheetView workbookViewId="0">
      <selection activeCell="I25" sqref="I25"/>
    </sheetView>
  </sheetViews>
  <sheetFormatPr defaultColWidth="9.109375" defaultRowHeight="13.2" x14ac:dyDescent="0.25"/>
  <cols>
    <col min="1" max="1" width="5.109375" style="6" bestFit="1" customWidth="1"/>
    <col min="2" max="2" width="27.6640625" style="7" customWidth="1"/>
    <col min="3" max="3" width="13.44140625" style="7" customWidth="1"/>
    <col min="4" max="16384" width="9.109375" style="7"/>
  </cols>
  <sheetData>
    <row r="1" spans="1:4" s="17" customFormat="1" ht="13.5" customHeight="1" x14ac:dyDescent="0.35">
      <c r="A1" s="19">
        <v>1303</v>
      </c>
      <c r="B1" s="28" t="e">
        <f>VLOOKUP($A1,#REF!,2,$A$1:$A$24)</f>
        <v>#REF!</v>
      </c>
      <c r="C1" s="28" t="e">
        <f>VLOOKUP($A1,#REF!,14,$A$1:$A$24)</f>
        <v>#REF!</v>
      </c>
      <c r="D1" s="17" t="s">
        <v>94</v>
      </c>
    </row>
    <row r="2" spans="1:4" s="17" customFormat="1" ht="13.5" customHeight="1" x14ac:dyDescent="0.35">
      <c r="A2" s="19">
        <v>1315</v>
      </c>
      <c r="B2" s="28" t="e">
        <f>VLOOKUP($A2,#REF!,2,$A$1:$A$24)</f>
        <v>#REF!</v>
      </c>
      <c r="C2" s="28" t="e">
        <f>VLOOKUP($A2,#REF!,14,$A$1:$A$24)</f>
        <v>#REF!</v>
      </c>
    </row>
    <row r="3" spans="1:4" s="17" customFormat="1" ht="13.5" customHeight="1" x14ac:dyDescent="0.35">
      <c r="A3" s="19">
        <v>1325</v>
      </c>
      <c r="B3" s="28" t="e">
        <f>VLOOKUP($A3,#REF!,2,$A$1:$A$24)</f>
        <v>#REF!</v>
      </c>
      <c r="C3" s="28" t="e">
        <f>VLOOKUP($A3,#REF!,14,$A$1:$A$24)</f>
        <v>#REF!</v>
      </c>
    </row>
    <row r="4" spans="1:4" s="17" customFormat="1" ht="13.5" customHeight="1" x14ac:dyDescent="0.35">
      <c r="A4" s="19">
        <v>1343</v>
      </c>
      <c r="B4" s="28" t="e">
        <f>VLOOKUP($A4,#REF!,2,$A$1:$A$24)</f>
        <v>#REF!</v>
      </c>
      <c r="C4" s="28" t="e">
        <f>VLOOKUP($A4,#REF!,14,$A$1:$A$24)</f>
        <v>#REF!</v>
      </c>
    </row>
    <row r="5" spans="1:4" s="17" customFormat="1" ht="13.5" customHeight="1" x14ac:dyDescent="0.35">
      <c r="A5" s="19">
        <v>1352</v>
      </c>
      <c r="B5" s="28" t="e">
        <f>VLOOKUP($A5,#REF!,2,$A$1:$A$24)</f>
        <v>#REF!</v>
      </c>
      <c r="C5" s="28" t="e">
        <f>VLOOKUP($A5,#REF!,14,$A$1:$A$24)</f>
        <v>#REF!</v>
      </c>
    </row>
    <row r="6" spans="1:4" s="28" customFormat="1" ht="13.5" customHeight="1" x14ac:dyDescent="0.35">
      <c r="A6" s="19">
        <v>1361</v>
      </c>
      <c r="B6" s="28" t="e">
        <f>VLOOKUP($A6,#REF!,2,$A$1:$A$24)</f>
        <v>#REF!</v>
      </c>
      <c r="C6" s="28" t="e">
        <f>VLOOKUP($A6,#REF!,14,$A$1:$A$24)</f>
        <v>#REF!</v>
      </c>
    </row>
    <row r="7" spans="1:4" s="28" customFormat="1" ht="13.5" customHeight="1" x14ac:dyDescent="0.35">
      <c r="A7" s="19">
        <v>1308</v>
      </c>
      <c r="B7" s="28" t="e">
        <f>VLOOKUP($A7,#REF!,2,$A$1:$A$24)</f>
        <v>#REF!</v>
      </c>
      <c r="C7" s="28" t="e">
        <f>VLOOKUP($A7,#REF!,14,$A$1:$A$24)</f>
        <v>#REF!</v>
      </c>
      <c r="D7" s="28">
        <v>23</v>
      </c>
    </row>
    <row r="8" spans="1:4" s="28" customFormat="1" ht="13.5" customHeight="1" x14ac:dyDescent="0.35">
      <c r="A8" s="19">
        <v>1324</v>
      </c>
      <c r="B8" s="28" t="e">
        <f>VLOOKUP($A8,#REF!,2,$A$1:$A$24)</f>
        <v>#REF!</v>
      </c>
      <c r="C8" s="28" t="e">
        <f>VLOOKUP($A8,#REF!,14,$A$1:$A$24)</f>
        <v>#REF!</v>
      </c>
    </row>
    <row r="9" spans="1:4" s="28" customFormat="1" ht="13.5" customHeight="1" x14ac:dyDescent="0.35">
      <c r="A9" s="19">
        <v>1341</v>
      </c>
      <c r="B9" s="28" t="e">
        <f>VLOOKUP($A9,#REF!,2,$A$1:$A$24)</f>
        <v>#REF!</v>
      </c>
      <c r="C9" s="28" t="e">
        <f>VLOOKUP($A9,#REF!,14,$A$1:$A$24)</f>
        <v>#REF!</v>
      </c>
    </row>
    <row r="10" spans="1:4" s="28" customFormat="1" ht="13.5" customHeight="1" x14ac:dyDescent="0.35">
      <c r="A10" s="19">
        <v>1351</v>
      </c>
      <c r="B10" s="28" t="e">
        <f>VLOOKUP($A10,#REF!,2,$A$1:$A$24)</f>
        <v>#REF!</v>
      </c>
      <c r="C10" s="28" t="e">
        <f>VLOOKUP($A10,#REF!,14,$A$1:$A$24)</f>
        <v>#REF!</v>
      </c>
    </row>
    <row r="11" spans="1:4" s="28" customFormat="1" ht="13.5" customHeight="1" x14ac:dyDescent="0.35">
      <c r="A11" s="19">
        <v>1362</v>
      </c>
      <c r="B11" s="28" t="e">
        <f>VLOOKUP($A11,#REF!,2,$A$1:$A$24)</f>
        <v>#REF!</v>
      </c>
      <c r="C11" s="28" t="e">
        <f>VLOOKUP($A11,#REF!,14,$A$1:$A$24)</f>
        <v>#REF!</v>
      </c>
    </row>
    <row r="12" spans="1:4" s="28" customFormat="1" ht="13.5" customHeight="1" x14ac:dyDescent="0.35">
      <c r="A12" s="19">
        <v>1372</v>
      </c>
      <c r="B12" s="28" t="e">
        <f>VLOOKUP($A12,#REF!,2,$A$1:$A$24)</f>
        <v>#REF!</v>
      </c>
      <c r="C12" s="28" t="e">
        <f>VLOOKUP($A12,#REF!,14,$A$1:$A$24)</f>
        <v>#REF!</v>
      </c>
    </row>
    <row r="13" spans="1:4" s="28" customFormat="1" ht="13.5" customHeight="1" x14ac:dyDescent="0.35">
      <c r="A13" s="19">
        <v>1379</v>
      </c>
      <c r="B13" s="28" t="e">
        <f>VLOOKUP($A13,#REF!,2,$A$1:$A$24)</f>
        <v>#REF!</v>
      </c>
      <c r="C13" s="28" t="e">
        <f>VLOOKUP($A13,#REF!,14,$A$1:$A$24)</f>
        <v>#REF!</v>
      </c>
    </row>
    <row r="14" spans="1:4" s="28" customFormat="1" ht="13.5" customHeight="1" x14ac:dyDescent="0.35">
      <c r="A14" s="19">
        <v>1380</v>
      </c>
      <c r="B14" s="28" t="e">
        <f>VLOOKUP($A14,#REF!,2,$A$1:$A$24)</f>
        <v>#REF!</v>
      </c>
      <c r="C14" s="28" t="e">
        <f>VLOOKUP($A14,#REF!,14,$A$1:$A$24)</f>
        <v>#REF!</v>
      </c>
    </row>
    <row r="15" spans="1:4" s="28" customFormat="1" ht="13.5" customHeight="1" x14ac:dyDescent="0.35">
      <c r="A15" s="19">
        <v>1416</v>
      </c>
      <c r="B15" s="28" t="e">
        <f>VLOOKUP($A15,#REF!,2,$A$1:$A$24)</f>
        <v>#REF!</v>
      </c>
      <c r="C15" s="28" t="e">
        <f>VLOOKUP($A15,#REF!,14,$A$1:$A$24)</f>
        <v>#REF!</v>
      </c>
    </row>
    <row r="16" spans="1:4" s="28" customFormat="1" ht="13.5" customHeight="1" x14ac:dyDescent="0.35">
      <c r="A16" s="19">
        <v>1304</v>
      </c>
      <c r="B16" s="28" t="e">
        <f>VLOOKUP($A16,#REF!,2,$A$1:$A$24)</f>
        <v>#REF!</v>
      </c>
      <c r="C16" s="28" t="e">
        <f>VLOOKUP($A16,#REF!,14,$A$1:$A$24)</f>
        <v>#REF!</v>
      </c>
      <c r="D16" s="28">
        <v>20</v>
      </c>
    </row>
    <row r="17" spans="1:3" s="28" customFormat="1" ht="13.5" customHeight="1" x14ac:dyDescent="0.35">
      <c r="A17" s="19">
        <v>1306</v>
      </c>
      <c r="B17" s="28" t="e">
        <f>VLOOKUP($A17,#REF!,2,$A$1:$A$24)</f>
        <v>#REF!</v>
      </c>
      <c r="C17" s="28" t="e">
        <f>VLOOKUP($A17,#REF!,14,$A$1:$A$24)</f>
        <v>#REF!</v>
      </c>
    </row>
    <row r="18" spans="1:3" s="28" customFormat="1" ht="13.5" customHeight="1" x14ac:dyDescent="0.35">
      <c r="A18" s="19">
        <v>1316</v>
      </c>
      <c r="B18" s="28" t="e">
        <f>VLOOKUP($A18,#REF!,2,$A$1:$A$24)</f>
        <v>#REF!</v>
      </c>
      <c r="C18" s="28" t="e">
        <f>VLOOKUP($A18,#REF!,14,$A$1:$A$24)</f>
        <v>#REF!</v>
      </c>
    </row>
    <row r="19" spans="1:3" s="28" customFormat="1" ht="13.5" customHeight="1" x14ac:dyDescent="0.35">
      <c r="A19" s="19">
        <v>1336</v>
      </c>
      <c r="B19" s="28" t="e">
        <f>VLOOKUP($A19,#REF!,2,$A$1:$A$24)</f>
        <v>#REF!</v>
      </c>
      <c r="C19" s="28" t="e">
        <f>VLOOKUP($A19,#REF!,14,$A$1:$A$24)</f>
        <v>#REF!</v>
      </c>
    </row>
    <row r="20" spans="1:3" s="28" customFormat="1" ht="13.5" customHeight="1" x14ac:dyDescent="0.35">
      <c r="A20" s="19">
        <v>1348</v>
      </c>
      <c r="B20" s="28" t="e">
        <f>VLOOKUP($A20,#REF!,2,$A$1:$A$24)</f>
        <v>#REF!</v>
      </c>
      <c r="C20" s="28" t="e">
        <f>VLOOKUP($A20,#REF!,14,$A$1:$A$24)</f>
        <v>#REF!</v>
      </c>
    </row>
    <row r="21" spans="1:3" s="28" customFormat="1" ht="13.5" customHeight="1" x14ac:dyDescent="0.35">
      <c r="A21" s="19">
        <v>1363</v>
      </c>
      <c r="B21" s="28" t="e">
        <f>VLOOKUP($A21,#REF!,2,$A$1:$A$24)</f>
        <v>#REF!</v>
      </c>
      <c r="C21" s="28" t="e">
        <f>VLOOKUP($A21,#REF!,14,$A$1:$A$24)</f>
        <v>#REF!</v>
      </c>
    </row>
    <row r="22" spans="1:3" s="28" customFormat="1" ht="13.5" customHeight="1" x14ac:dyDescent="0.35">
      <c r="A22" s="19">
        <v>1367</v>
      </c>
      <c r="B22" s="28" t="e">
        <f>VLOOKUP($A22,#REF!,2,$A$1:$A$24)</f>
        <v>#REF!</v>
      </c>
      <c r="C22" s="28" t="e">
        <f>VLOOKUP($A22,#REF!,14,$A$1:$A$24)</f>
        <v>#REF!</v>
      </c>
    </row>
    <row r="23" spans="1:3" s="28" customFormat="1" ht="13.5" customHeight="1" x14ac:dyDescent="0.35">
      <c r="A23" s="19">
        <v>1375</v>
      </c>
      <c r="B23" s="28" t="e">
        <f>VLOOKUP($A23,#REF!,2,$A$1:$A$24)</f>
        <v>#REF!</v>
      </c>
      <c r="C23" s="28" t="e">
        <f>VLOOKUP($A23,#REF!,14,$A$1:$A$24)</f>
        <v>#REF!</v>
      </c>
    </row>
    <row r="24" spans="1:3" s="28" customFormat="1" ht="13.5" customHeight="1" x14ac:dyDescent="0.35">
      <c r="A24" s="19"/>
      <c r="B24" s="29"/>
    </row>
  </sheetData>
  <sortState ref="A36:A76">
    <sortCondition ref="A36:A76"/>
  </sortState>
  <printOptions horizontalCentered="1"/>
  <pageMargins left="0.59055118110236227" right="0.39370078740157483" top="0.59055118110236227" bottom="0.59055118110236227" header="0.59055118110236227" footer="0.78740157480314965"/>
  <pageSetup paperSize="9" scale="74" orientation="portrait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97"/>
  <sheetViews>
    <sheetView view="pageBreakPreview" zoomScale="60" workbookViewId="0">
      <selection activeCell="I25" sqref="I25"/>
    </sheetView>
  </sheetViews>
  <sheetFormatPr defaultColWidth="9.109375" defaultRowHeight="13.2" outlineLevelCol="1" x14ac:dyDescent="0.25"/>
  <cols>
    <col min="1" max="1" width="4.77734375" style="323" customWidth="1"/>
    <col min="2" max="2" width="9.109375" style="321" customWidth="1"/>
    <col min="3" max="3" width="46.77734375" style="323" customWidth="1"/>
    <col min="4" max="4" width="10.88671875" style="60" customWidth="1"/>
    <col min="5" max="5" width="8.5546875" style="323" customWidth="1"/>
    <col min="6" max="6" width="8" style="323" customWidth="1"/>
    <col min="7" max="7" width="6.5546875" style="321" customWidth="1"/>
    <col min="8" max="8" width="6.5546875" style="323" customWidth="1"/>
    <col min="9" max="9" width="5.88671875" style="321" customWidth="1"/>
    <col min="10" max="10" width="6.5546875" style="321" customWidth="1" outlineLevel="1"/>
    <col min="11" max="11" width="6.5546875" style="38" customWidth="1" outlineLevel="1"/>
    <col min="12" max="12" width="7.44140625" style="38" customWidth="1" outlineLevel="1"/>
    <col min="13" max="14" width="5.33203125" style="38" customWidth="1"/>
    <col min="15" max="15" width="11.21875" style="323" customWidth="1" outlineLevel="1"/>
    <col min="16" max="16" width="7.33203125" style="323" bestFit="1" customWidth="1" outlineLevel="1"/>
    <col min="17" max="17" width="6.6640625" style="323" bestFit="1" customWidth="1" outlineLevel="1"/>
    <col min="18" max="18" width="3.33203125" style="323" bestFit="1" customWidth="1" outlineLevel="1"/>
    <col min="19" max="19" width="5.44140625" style="323" bestFit="1" customWidth="1" outlineLevel="1"/>
    <col min="20" max="20" width="6.109375" style="323" customWidth="1" outlineLevel="1"/>
    <col min="21" max="21" width="6" style="323" customWidth="1" outlineLevel="1"/>
    <col min="22" max="22" width="7.44140625" style="323" customWidth="1" outlineLevel="1"/>
    <col min="23" max="24" width="5.109375" style="323" customWidth="1" outlineLevel="1"/>
    <col min="25" max="25" width="6.33203125" style="323" bestFit="1" customWidth="1"/>
    <col min="26" max="26" width="5.44140625" style="321" bestFit="1" customWidth="1"/>
    <col min="27" max="27" width="6.33203125" style="321" customWidth="1"/>
    <col min="28" max="28" width="5.44140625" style="323" bestFit="1" customWidth="1"/>
    <col min="29" max="29" width="6.5546875" style="321" bestFit="1" customWidth="1"/>
    <col min="30" max="30" width="6.5546875" style="323" bestFit="1" customWidth="1"/>
    <col min="31" max="31" width="4.6640625" style="323" bestFit="1" customWidth="1"/>
    <col min="32" max="32" width="4.88671875" style="323" bestFit="1" customWidth="1"/>
    <col min="33" max="33" width="5.109375" style="323" bestFit="1" customWidth="1"/>
    <col min="34" max="36" width="3.109375" style="323" bestFit="1" customWidth="1"/>
    <col min="37" max="16384" width="9.109375" style="323"/>
  </cols>
  <sheetData>
    <row r="1" spans="1:49" x14ac:dyDescent="0.25">
      <c r="A1" s="432" t="str">
        <f>Расп!$A$21</f>
        <v>МИНИСТЕРСТВО СПОРТА РОССИЙСКОЙ ФЕДЕРАЦИИ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278"/>
      <c r="Q1" s="60" t="s">
        <v>29</v>
      </c>
      <c r="R1" s="208">
        <v>0</v>
      </c>
      <c r="S1" s="208"/>
      <c r="T1" s="208">
        <v>1600</v>
      </c>
      <c r="U1" s="208">
        <v>2000</v>
      </c>
      <c r="V1" s="208">
        <v>2700</v>
      </c>
      <c r="W1" s="208">
        <v>3300</v>
      </c>
      <c r="X1" s="208">
        <v>3900</v>
      </c>
      <c r="Y1" s="209">
        <v>4500</v>
      </c>
      <c r="Z1" s="89">
        <v>5250</v>
      </c>
      <c r="AA1" s="89">
        <v>6150</v>
      </c>
      <c r="AB1" s="89"/>
      <c r="AC1" s="210" t="s">
        <v>89</v>
      </c>
      <c r="AD1" s="211" t="s">
        <v>90</v>
      </c>
      <c r="AE1" s="210">
        <v>4000</v>
      </c>
      <c r="AF1" s="89"/>
      <c r="AG1" s="89"/>
    </row>
    <row r="2" spans="1:49" x14ac:dyDescent="0.25">
      <c r="A2" s="432" t="str">
        <f>Расп!$A$22</f>
        <v>ВСЕРОССИЙСКАЯ ФЕДЕРАЦИЯ ЛЕГКОЙ АТЛЕТИКИ</v>
      </c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278"/>
      <c r="Q2" s="60" t="s">
        <v>0</v>
      </c>
      <c r="R2" s="212" t="s">
        <v>66</v>
      </c>
      <c r="S2" s="89" t="s">
        <v>73</v>
      </c>
      <c r="T2" s="89" t="s">
        <v>74</v>
      </c>
      <c r="U2" s="89" t="s">
        <v>75</v>
      </c>
      <c r="V2" s="213">
        <v>3</v>
      </c>
      <c r="W2" s="208">
        <v>2</v>
      </c>
      <c r="X2" s="208">
        <v>1</v>
      </c>
      <c r="Y2" s="209" t="s">
        <v>62</v>
      </c>
      <c r="Z2" s="89" t="s">
        <v>61</v>
      </c>
      <c r="AA2" s="89" t="s">
        <v>63</v>
      </c>
      <c r="AB2" s="89"/>
      <c r="AC2" s="323"/>
      <c r="AF2" s="89"/>
      <c r="AG2" s="89"/>
    </row>
    <row r="3" spans="1:49" x14ac:dyDescent="0.25">
      <c r="A3" s="432" t="str">
        <f>Расп!$A$25</f>
        <v>Командный чемпионат России</v>
      </c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278"/>
      <c r="Q3" s="60"/>
      <c r="R3" s="89"/>
      <c r="S3" s="89"/>
      <c r="T3" s="89"/>
      <c r="U3" s="89"/>
      <c r="W3" s="89"/>
      <c r="X3" s="89"/>
      <c r="Y3" s="214" t="s">
        <v>83</v>
      </c>
      <c r="Z3" s="89"/>
      <c r="AA3" s="89"/>
      <c r="AB3" s="89"/>
      <c r="AC3" s="89"/>
      <c r="AD3" s="89"/>
      <c r="AE3" s="89"/>
      <c r="AF3" s="89"/>
      <c r="AG3" s="89"/>
    </row>
    <row r="4" spans="1:49" x14ac:dyDescent="0.25">
      <c r="A4" s="432" t="str">
        <f>Расп!$A$27</f>
        <v>по многоборью</v>
      </c>
      <c r="B4" s="432"/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278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49" ht="15.6" x14ac:dyDescent="0.3">
      <c r="A5" s="433" t="s">
        <v>118</v>
      </c>
      <c r="B5" s="433"/>
      <c r="C5" s="433"/>
      <c r="D5" s="433"/>
      <c r="E5" s="433"/>
      <c r="F5" s="433"/>
      <c r="G5" s="433"/>
      <c r="H5" s="433"/>
      <c r="I5" s="433"/>
      <c r="J5" s="433"/>
      <c r="K5" s="433"/>
      <c r="L5" s="433"/>
      <c r="M5" s="433"/>
      <c r="N5" s="433"/>
      <c r="O5" s="433"/>
      <c r="P5" s="279"/>
      <c r="Q5" s="60" t="s">
        <v>60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323">
        <v>17</v>
      </c>
    </row>
    <row r="6" spans="1:49" ht="15.6" x14ac:dyDescent="0.3">
      <c r="A6" s="433" t="s">
        <v>11</v>
      </c>
      <c r="B6" s="433"/>
      <c r="C6" s="433"/>
      <c r="D6" s="433"/>
      <c r="E6" s="433"/>
      <c r="F6" s="433"/>
      <c r="G6" s="433"/>
      <c r="H6" s="433"/>
      <c r="I6" s="433"/>
      <c r="J6" s="433"/>
      <c r="K6" s="433"/>
      <c r="L6" s="433"/>
      <c r="M6" s="433"/>
      <c r="N6" s="433"/>
      <c r="O6" s="433"/>
      <c r="P6" s="279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323">
        <v>0</v>
      </c>
    </row>
    <row r="7" spans="1:49" x14ac:dyDescent="0.25">
      <c r="C7" s="321"/>
      <c r="E7" s="36"/>
      <c r="F7" s="89"/>
      <c r="G7" s="181"/>
      <c r="H7" s="89"/>
      <c r="I7" s="181"/>
      <c r="J7" s="89"/>
      <c r="K7" s="393"/>
      <c r="L7" s="393"/>
      <c r="M7" s="393"/>
      <c r="N7" s="393"/>
      <c r="O7" s="393"/>
      <c r="P7" s="279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49" x14ac:dyDescent="0.25">
      <c r="A8" s="432" t="str">
        <f>Расп!B13</f>
        <v>Женщины</v>
      </c>
      <c r="B8" s="432"/>
      <c r="C8" s="321" t="str">
        <f>Расп!C13</f>
        <v>Юниорки до 23 лет</v>
      </c>
      <c r="E8" s="36"/>
      <c r="F8" s="89"/>
      <c r="G8" s="181"/>
      <c r="H8" s="89"/>
      <c r="I8" s="181"/>
      <c r="J8" s="282" t="str">
        <f>Расп!A1</f>
        <v>04.09.2019 г.</v>
      </c>
      <c r="K8" s="397" t="s">
        <v>161</v>
      </c>
      <c r="L8" s="393"/>
      <c r="M8" s="393"/>
      <c r="N8" s="282" t="str">
        <f>Расп!A6</f>
        <v>19.05.2019 г.</v>
      </c>
      <c r="O8" s="398" t="s">
        <v>162</v>
      </c>
      <c r="P8" s="280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62</v>
      </c>
      <c r="V8" s="88" t="s">
        <v>61</v>
      </c>
      <c r="W8" s="88" t="s">
        <v>63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49" x14ac:dyDescent="0.25">
      <c r="A9" s="86" t="str">
        <f>Расп!$A$14</f>
        <v>РМ</v>
      </c>
      <c r="B9" s="321">
        <f>Расп!B14</f>
        <v>7291</v>
      </c>
      <c r="C9" s="321" t="s">
        <v>119</v>
      </c>
      <c r="F9" s="89"/>
      <c r="G9" s="181"/>
      <c r="H9" s="89"/>
      <c r="I9" s="181"/>
      <c r="J9" s="192" t="str">
        <f>Расп!A2</f>
        <v>бег с барьерами 100 м</v>
      </c>
      <c r="K9" s="190">
        <f>Расп!B2</f>
        <v>0.40972222222222227</v>
      </c>
      <c r="L9" s="281"/>
      <c r="M9" s="281"/>
      <c r="N9" s="192" t="str">
        <f>Расп!A7</f>
        <v>прыжок в длину</v>
      </c>
      <c r="O9" s="190">
        <f>Расп!B7</f>
        <v>0.41666666666666669</v>
      </c>
      <c r="P9" s="280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49" x14ac:dyDescent="0.25">
      <c r="A10" s="86" t="str">
        <f>Расп!$A$15</f>
        <v>РЕ</v>
      </c>
      <c r="B10" s="321">
        <f>Расп!B15</f>
        <v>7032</v>
      </c>
      <c r="C10" s="321" t="s">
        <v>127</v>
      </c>
      <c r="F10" s="89"/>
      <c r="G10" s="181"/>
      <c r="H10" s="394"/>
      <c r="I10" s="395"/>
      <c r="J10" s="192" t="str">
        <f>Расп!A3</f>
        <v>прыжок в высоту</v>
      </c>
      <c r="K10" s="190">
        <f>Расп!B3</f>
        <v>0.44791666666666669</v>
      </c>
      <c r="L10" s="198"/>
      <c r="M10" s="198"/>
      <c r="N10" s="192" t="str">
        <f>Расп!A8</f>
        <v>метание копья (600 г)</v>
      </c>
      <c r="O10" s="190">
        <v>0.50694444444444442</v>
      </c>
      <c r="P10" s="280" t="s">
        <v>24</v>
      </c>
      <c r="Q10" s="168"/>
      <c r="R10" s="218"/>
      <c r="S10" s="168"/>
      <c r="T10" s="168"/>
      <c r="U10" s="168"/>
      <c r="V10" s="168"/>
      <c r="W10" s="219"/>
      <c r="Z10" s="323"/>
      <c r="AB10" s="60"/>
      <c r="AC10" s="89"/>
      <c r="AD10" s="89"/>
      <c r="AE10" s="89"/>
      <c r="AF10" s="89"/>
      <c r="AG10" s="89"/>
    </row>
    <row r="11" spans="1:49" x14ac:dyDescent="0.25">
      <c r="A11" s="86" t="str">
        <f>Расп!$A$16</f>
        <v>РР</v>
      </c>
      <c r="B11" s="321">
        <f>Расп!B16</f>
        <v>7007</v>
      </c>
      <c r="C11" s="321" t="s">
        <v>128</v>
      </c>
      <c r="F11" s="395"/>
      <c r="G11" s="394"/>
      <c r="H11" s="395"/>
      <c r="I11" s="89"/>
      <c r="J11" s="192" t="str">
        <f>Расп!A4</f>
        <v>толкание ядра</v>
      </c>
      <c r="K11" s="190">
        <f>Расп!B4</f>
        <v>0.70833333333333337</v>
      </c>
      <c r="L11" s="198"/>
      <c r="M11" s="198"/>
      <c r="N11" s="192" t="str">
        <f>Расп!A9</f>
        <v>бег 800 м</v>
      </c>
      <c r="O11" s="190">
        <v>0.71527777777777779</v>
      </c>
      <c r="P11" s="280"/>
      <c r="Q11" s="220" t="s">
        <v>84</v>
      </c>
      <c r="R11" s="221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49" ht="15.6" x14ac:dyDescent="0.3">
      <c r="A12" s="323" t="str">
        <f>Расп!$A$26</f>
        <v>г.Сочи, Адлерский район, стадион "Юность"</v>
      </c>
      <c r="D12" s="44"/>
      <c r="F12" s="395"/>
      <c r="G12" s="393"/>
      <c r="H12" s="395"/>
      <c r="I12" s="393"/>
      <c r="J12" s="192" t="str">
        <f>Расп!A5</f>
        <v>бег 200 м</v>
      </c>
      <c r="K12" s="190">
        <f>Расп!B5</f>
        <v>0.75347222222222221</v>
      </c>
      <c r="L12" s="198"/>
      <c r="M12" s="198"/>
      <c r="N12" s="198"/>
      <c r="O12" s="198"/>
      <c r="P12" s="279"/>
      <c r="Q12" s="168"/>
      <c r="R12" s="168"/>
      <c r="S12" s="168"/>
      <c r="T12" s="168"/>
      <c r="U12" s="168"/>
      <c r="V12" s="168"/>
      <c r="W12" s="219"/>
      <c r="Z12" s="323"/>
      <c r="AA12" s="88"/>
      <c r="AB12" s="86"/>
      <c r="AC12" s="323"/>
    </row>
    <row r="13" spans="1:49" s="98" customFormat="1" ht="30.6" x14ac:dyDescent="0.25">
      <c r="A13" s="193" t="s">
        <v>60</v>
      </c>
      <c r="B13" s="193" t="s">
        <v>113</v>
      </c>
      <c r="C13" s="193" t="s">
        <v>167</v>
      </c>
      <c r="D13" s="193" t="s">
        <v>129</v>
      </c>
      <c r="E13" s="93"/>
      <c r="F13" s="193" t="s">
        <v>104</v>
      </c>
      <c r="G13" s="193" t="s">
        <v>105</v>
      </c>
      <c r="H13" s="193" t="s">
        <v>106</v>
      </c>
      <c r="I13" s="193" t="s">
        <v>123</v>
      </c>
      <c r="J13" s="193" t="s">
        <v>108</v>
      </c>
      <c r="K13" s="193" t="s">
        <v>109</v>
      </c>
      <c r="L13" s="193" t="s">
        <v>124</v>
      </c>
      <c r="M13" s="200" t="s">
        <v>29</v>
      </c>
      <c r="N13" s="200" t="s">
        <v>0</v>
      </c>
      <c r="O13" s="287" t="s">
        <v>120</v>
      </c>
      <c r="P13" s="223" t="s">
        <v>19</v>
      </c>
      <c r="Q13" s="96" t="s">
        <v>91</v>
      </c>
      <c r="R13" s="96" t="s">
        <v>92</v>
      </c>
      <c r="S13" s="96" t="s">
        <v>93</v>
      </c>
      <c r="T13" s="97" t="s">
        <v>76</v>
      </c>
      <c r="U13" s="97" t="s">
        <v>16</v>
      </c>
      <c r="V13" s="97" t="s">
        <v>27</v>
      </c>
      <c r="W13" s="97">
        <v>200</v>
      </c>
      <c r="X13" s="97" t="s">
        <v>26</v>
      </c>
      <c r="Y13" s="224" t="s">
        <v>17</v>
      </c>
      <c r="Z13" s="224">
        <v>800</v>
      </c>
      <c r="AC13" s="225" t="s">
        <v>87</v>
      </c>
      <c r="AD13" s="225" t="s">
        <v>88</v>
      </c>
    </row>
    <row r="14" spans="1:49" s="322" customFormat="1" hidden="1" x14ac:dyDescent="0.25">
      <c r="D14" s="187"/>
      <c r="M14" s="49"/>
      <c r="N14" s="49"/>
      <c r="O14" s="49"/>
      <c r="P14" s="159"/>
      <c r="Q14" s="49"/>
      <c r="R14" s="49"/>
      <c r="S14" s="49"/>
      <c r="T14" s="169"/>
      <c r="U14" s="169"/>
      <c r="V14" s="169"/>
      <c r="W14" s="169"/>
      <c r="X14" s="169"/>
      <c r="Y14" s="169"/>
      <c r="Z14" s="226"/>
      <c r="AC14" s="227"/>
      <c r="AD14" s="131"/>
    </row>
    <row r="15" spans="1:49" s="322" customFormat="1" ht="13.8" hidden="1" thickBot="1" x14ac:dyDescent="0.3">
      <c r="A15" s="366"/>
      <c r="B15" s="366"/>
      <c r="C15" s="366"/>
      <c r="D15" s="367"/>
      <c r="E15" s="366"/>
      <c r="F15" s="366"/>
      <c r="G15" s="366"/>
      <c r="H15" s="366"/>
      <c r="I15" s="366"/>
      <c r="J15" s="366"/>
      <c r="K15" s="366"/>
      <c r="L15" s="366"/>
      <c r="M15" s="368"/>
      <c r="N15" s="368"/>
      <c r="O15" s="368"/>
      <c r="P15" s="159"/>
      <c r="Q15" s="49"/>
      <c r="R15" s="49"/>
      <c r="S15" s="49"/>
      <c r="T15" s="169"/>
      <c r="U15" s="169"/>
      <c r="V15" s="169"/>
      <c r="W15" s="169"/>
      <c r="X15" s="169"/>
      <c r="Y15" s="169"/>
      <c r="Z15" s="226"/>
      <c r="AC15" s="227"/>
      <c r="AD15" s="131"/>
    </row>
    <row r="16" spans="1:49" s="131" customFormat="1" x14ac:dyDescent="0.35">
      <c r="A16" s="375">
        <v>1</v>
      </c>
      <c r="B16" s="331">
        <v>71</v>
      </c>
      <c r="C16" s="377" t="e">
        <f>VLOOKUP(B16,Уч!$A$2:$L$16,2,FALSE)</f>
        <v>#N/A</v>
      </c>
      <c r="D16" s="333" t="e">
        <f>VLOOKUP(B16,Уч!$A$2:$L$16,3,FALSE)</f>
        <v>#N/A</v>
      </c>
      <c r="E16" s="380" t="s">
        <v>18</v>
      </c>
      <c r="F16" s="369" t="e">
        <f>VLOOKUP($B16,'110 сб '!$C$17:$I$87,5,FALSE)</f>
        <v>#N/A</v>
      </c>
      <c r="G16" s="369" t="e">
        <f>VLOOKUP($B16,высота!$C$17:$AF$42,29,FALSE)</f>
        <v>#N/A</v>
      </c>
      <c r="H16" s="369" t="e">
        <f>VLOOKUP($B16,ядро!$C$17:$K$43,8,FALSE)</f>
        <v>#N/A</v>
      </c>
      <c r="I16" s="369">
        <f>VLOOKUP($B16,'2_р'!$C$17:$I$68,5,FALSE)</f>
        <v>24.88</v>
      </c>
      <c r="J16" s="369">
        <f>VLOOKUP($B16,Дл_р!$C$17:$O$43,11,FALSE)</f>
        <v>6.22</v>
      </c>
      <c r="K16" s="369">
        <f>VLOOKUP($B16,К_р!$C$18:$K$31,8,FALSE)</f>
        <v>42.82</v>
      </c>
      <c r="L16" s="370" t="str">
        <f>VLOOKUP($B16,'8_р'!$C$17:$H$77,5,FALSE)</f>
        <v>2:15.90</v>
      </c>
      <c r="M16" s="382" t="e">
        <f>SUM(F18:L18)</f>
        <v>#N/A</v>
      </c>
      <c r="N16" s="331" t="e">
        <f>LOOKUP(M16,R$1:AA$1,R$2:AA$2)</f>
        <v>#N/A</v>
      </c>
      <c r="O16" s="375" t="e">
        <f>AC16+AD16+5</f>
        <v>#N/A</v>
      </c>
      <c r="P16" s="86">
        <f>B16</f>
        <v>71</v>
      </c>
      <c r="Q16" s="131">
        <f>$A16</f>
        <v>1</v>
      </c>
      <c r="R16" s="131">
        <v>1</v>
      </c>
      <c r="S16" s="131">
        <f>$A16</f>
        <v>1</v>
      </c>
      <c r="T16" s="236"/>
      <c r="U16" s="236"/>
      <c r="V16" s="236"/>
      <c r="W16" s="236"/>
      <c r="X16" s="236"/>
      <c r="Y16" s="236"/>
      <c r="Z16" s="236"/>
      <c r="AA16" s="123"/>
      <c r="AB16" s="86"/>
      <c r="AC16" s="131" t="e">
        <f>IF(AND(Q16&gt;16,M16&gt;=4600),"1",LOOKUP(Q16,Q$5:AH$5,Q$6:AH$6))</f>
        <v>#N/A</v>
      </c>
      <c r="AD16" s="131" t="e">
        <f>LOOKUP(N16,R$8:W$8,R$9:W$9)</f>
        <v>#N/A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</row>
    <row r="17" spans="1:49" s="131" customFormat="1" x14ac:dyDescent="0.35">
      <c r="A17" s="376"/>
      <c r="B17" s="331"/>
      <c r="C17" s="378" t="e">
        <f>VLOOKUP(B16,Уч!$A$2:$L$16,5,FALSE)</f>
        <v>#N/A</v>
      </c>
      <c r="D17" s="333" t="e">
        <f>VLOOKUP(B16,Уч!$A$2:$L$16,4,FALSE)</f>
        <v>#N/A</v>
      </c>
      <c r="E17" s="285" t="s">
        <v>25</v>
      </c>
      <c r="F17" s="371" t="e">
        <f>VLOOKUP($B16,'110 сб '!$C$17:$I$87,6,FALSE)</f>
        <v>#N/A</v>
      </c>
      <c r="G17" s="369"/>
      <c r="H17" s="369"/>
      <c r="I17" s="371">
        <f>VLOOKUP($B16,'2_р'!$C$17:$I$68,6,FALSE)</f>
        <v>1.2</v>
      </c>
      <c r="J17" s="371">
        <f>VLOOKUP($B16,Дл_р!$C$17:$O$43,12,FALSE)</f>
        <v>0.6</v>
      </c>
      <c r="K17" s="369"/>
      <c r="L17" s="370"/>
      <c r="M17" s="383"/>
      <c r="N17" s="331"/>
      <c r="O17" s="376" t="e">
        <f>CONCATENATE(AC16,"+",AD16,"+",5)</f>
        <v>#N/A</v>
      </c>
      <c r="P17" s="86">
        <f>B16</f>
        <v>71</v>
      </c>
      <c r="Q17" s="131">
        <f>$A16</f>
        <v>1</v>
      </c>
      <c r="R17" s="131">
        <v>2</v>
      </c>
      <c r="S17" s="131">
        <f>$A16</f>
        <v>1</v>
      </c>
      <c r="T17" s="236"/>
      <c r="U17" s="236"/>
      <c r="V17" s="236"/>
      <c r="W17" s="236"/>
      <c r="X17" s="236"/>
      <c r="Y17" s="236"/>
      <c r="Z17" s="236"/>
      <c r="AA17" s="123"/>
      <c r="AB17" s="86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</row>
    <row r="18" spans="1:49" s="131" customFormat="1" x14ac:dyDescent="0.35">
      <c r="A18" s="376"/>
      <c r="B18" s="331"/>
      <c r="C18" s="379" t="e">
        <f>VLOOKUP(B16,Уч!$A$2:$L$16,7,FALSE)</f>
        <v>#N/A</v>
      </c>
      <c r="D18" s="372"/>
      <c r="E18" s="285" t="s">
        <v>29</v>
      </c>
      <c r="F18" s="370" t="e">
        <f>VLOOKUP($B16,'110 сб '!$C$17:$I$87,7,FALSE)</f>
        <v>#N/A</v>
      </c>
      <c r="G18" s="370" t="e">
        <f>VLOOKUP($B16,высота!$C$17:$AF$42,30,FALSE)</f>
        <v>#N/A</v>
      </c>
      <c r="H18" s="370" t="e">
        <f>VLOOKUP($B16,ядро!$C$17:$K$43,9,FALSE)</f>
        <v>#N/A</v>
      </c>
      <c r="I18" s="370">
        <f>VLOOKUP($B16,'2_р'!$C$17:$I$68,7,FALSE)</f>
        <v>898</v>
      </c>
      <c r="J18" s="370">
        <f>VLOOKUP($B16,Дл_р!$C$17:$O$43,13,FALSE)</f>
        <v>918</v>
      </c>
      <c r="K18" s="370">
        <f>VLOOKUP($B16,К_р!$C$18:$K$31,9,FALSE)</f>
        <v>721</v>
      </c>
      <c r="L18" s="370">
        <f>VLOOKUP($B16,'8_р'!$C$17:$H$77,6,FALSE)</f>
        <v>880</v>
      </c>
      <c r="M18" s="383"/>
      <c r="N18" s="294"/>
      <c r="O18" s="383"/>
      <c r="P18" s="243">
        <f>B16</f>
        <v>71</v>
      </c>
      <c r="Q18" s="131">
        <f>$A16</f>
        <v>1</v>
      </c>
      <c r="R18" s="131">
        <v>3</v>
      </c>
      <c r="S18" s="131">
        <f>$A16</f>
        <v>1</v>
      </c>
      <c r="T18" s="236"/>
      <c r="U18" s="236"/>
      <c r="V18" s="236"/>
      <c r="W18" s="236"/>
      <c r="X18" s="236"/>
      <c r="Y18" s="236"/>
      <c r="Z18" s="236"/>
      <c r="AA18" s="123"/>
      <c r="AB18" s="86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</row>
    <row r="19" spans="1:49" s="131" customFormat="1" x14ac:dyDescent="0.35">
      <c r="A19" s="376"/>
      <c r="B19" s="331"/>
      <c r="C19" s="379" t="e">
        <f>VLOOKUP(B16,Уч!$A$2:$L$16,11,FALSE)</f>
        <v>#N/A</v>
      </c>
      <c r="D19" s="373"/>
      <c r="E19" s="285" t="s">
        <v>125</v>
      </c>
      <c r="F19" s="370" t="e">
        <f>F18</f>
        <v>#N/A</v>
      </c>
      <c r="G19" s="370" t="e">
        <f t="shared" ref="G19:L19" si="0">F19+G18</f>
        <v>#N/A</v>
      </c>
      <c r="H19" s="370" t="e">
        <f t="shared" si="0"/>
        <v>#N/A</v>
      </c>
      <c r="I19" s="370" t="e">
        <f t="shared" si="0"/>
        <v>#N/A</v>
      </c>
      <c r="J19" s="370" t="e">
        <f t="shared" si="0"/>
        <v>#N/A</v>
      </c>
      <c r="K19" s="370" t="e">
        <f t="shared" si="0"/>
        <v>#N/A</v>
      </c>
      <c r="L19" s="370" t="e">
        <f t="shared" si="0"/>
        <v>#N/A</v>
      </c>
      <c r="M19" s="383"/>
      <c r="N19" s="294"/>
      <c r="O19" s="383"/>
      <c r="P19" s="243">
        <f>B16</f>
        <v>71</v>
      </c>
      <c r="Q19" s="131">
        <f>$A16</f>
        <v>1</v>
      </c>
      <c r="R19" s="131">
        <v>4</v>
      </c>
      <c r="S19" s="131">
        <f>$A16</f>
        <v>1</v>
      </c>
      <c r="T19" s="152" t="e">
        <f t="shared" ref="T19:Z19" si="1">F19</f>
        <v>#N/A</v>
      </c>
      <c r="U19" s="152" t="e">
        <f t="shared" si="1"/>
        <v>#N/A</v>
      </c>
      <c r="V19" s="152" t="e">
        <f t="shared" si="1"/>
        <v>#N/A</v>
      </c>
      <c r="W19" s="152" t="e">
        <f t="shared" si="1"/>
        <v>#N/A</v>
      </c>
      <c r="X19" s="152" t="e">
        <f t="shared" si="1"/>
        <v>#N/A</v>
      </c>
      <c r="Y19" s="152" t="e">
        <f t="shared" si="1"/>
        <v>#N/A</v>
      </c>
      <c r="Z19" s="152" t="e">
        <f t="shared" si="1"/>
        <v>#N/A</v>
      </c>
      <c r="AA19" s="123"/>
      <c r="AB19" s="86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</row>
    <row r="20" spans="1:49" s="131" customFormat="1" x14ac:dyDescent="0.35">
      <c r="A20" s="324"/>
      <c r="B20" s="385"/>
      <c r="C20" s="325"/>
      <c r="D20" s="386"/>
      <c r="E20" s="381" t="s">
        <v>60</v>
      </c>
      <c r="F20" s="387" t="e">
        <f>RANK(F19,$T$19:$T$90,0)</f>
        <v>#N/A</v>
      </c>
      <c r="G20" s="387" t="e">
        <f>RANK(G19,$U$19:$U$80,0)</f>
        <v>#N/A</v>
      </c>
      <c r="H20" s="387" t="e">
        <f>RANK(H19,$V$19:$V$80,0)</f>
        <v>#N/A</v>
      </c>
      <c r="I20" s="387" t="e">
        <f>RANK(I19,$W$19:$W$79,0)</f>
        <v>#N/A</v>
      </c>
      <c r="J20" s="387" t="e">
        <f>RANK(J19,$X$19:$X$79,0)</f>
        <v>#N/A</v>
      </c>
      <c r="K20" s="387" t="e">
        <f>RANK(K19,$Y$19:$Y$85,0)</f>
        <v>#N/A</v>
      </c>
      <c r="L20" s="387" t="e">
        <f>RANK(L19,$Z$19:$Z$85,0)</f>
        <v>#N/A</v>
      </c>
      <c r="M20" s="384"/>
      <c r="N20" s="388"/>
      <c r="O20" s="384"/>
      <c r="P20" s="243">
        <f>B16</f>
        <v>71</v>
      </c>
      <c r="Q20" s="131">
        <f>$A16</f>
        <v>1</v>
      </c>
      <c r="R20" s="131">
        <v>5</v>
      </c>
      <c r="S20" s="131">
        <f>$A16</f>
        <v>1</v>
      </c>
      <c r="T20" s="236"/>
      <c r="U20" s="236"/>
      <c r="V20" s="236"/>
      <c r="W20" s="236"/>
      <c r="X20" s="236"/>
      <c r="Y20" s="236"/>
      <c r="Z20" s="236"/>
      <c r="AA20" s="123"/>
      <c r="AB20" s="86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</row>
    <row r="21" spans="1:49" s="131" customFormat="1" x14ac:dyDescent="0.35">
      <c r="A21" s="376">
        <v>2</v>
      </c>
      <c r="B21" s="331">
        <v>30</v>
      </c>
      <c r="C21" s="378" t="e">
        <f>VLOOKUP(B21,Уч!$A$2:$L$16,2,FALSE)</f>
        <v>#N/A</v>
      </c>
      <c r="D21" s="333" t="e">
        <f>VLOOKUP(B21,Уч!$A$2:$L$16,3,FALSE)</f>
        <v>#N/A</v>
      </c>
      <c r="E21" s="285" t="s">
        <v>18</v>
      </c>
      <c r="F21" s="369" t="e">
        <f>VLOOKUP($B21,'110 сб '!$C$17:$I$87,5,FALSE)</f>
        <v>#N/A</v>
      </c>
      <c r="G21" s="369" t="e">
        <f>VLOOKUP($B21,высота!$C$17:$AF$42,29,FALSE)</f>
        <v>#N/A</v>
      </c>
      <c r="H21" s="369" t="e">
        <f>VLOOKUP($B21,ядро!$C$17:$K$43,8,FALSE)</f>
        <v>#N/A</v>
      </c>
      <c r="I21" s="369">
        <f>VLOOKUP($B21,'2_р'!$C$17:$I$68,5,FALSE)</f>
        <v>25.31</v>
      </c>
      <c r="J21" s="369">
        <f>VLOOKUP($B21,Дл_р!$C$17:$O$43,11,FALSE)</f>
        <v>5.67</v>
      </c>
      <c r="K21" s="369">
        <f>VLOOKUP($B21,К_р!$C$18:$K$31,8,FALSE)</f>
        <v>41.26</v>
      </c>
      <c r="L21" s="370" t="str">
        <f>VLOOKUP($B21,'8_р'!$C$17:$H$77,5,FALSE)</f>
        <v>2:16.00</v>
      </c>
      <c r="M21" s="383" t="e">
        <f>SUM(F23:L23)</f>
        <v>#N/A</v>
      </c>
      <c r="N21" s="331" t="e">
        <f>LOOKUP(M21,R$1:AA$1,R$2:AA$2)</f>
        <v>#N/A</v>
      </c>
      <c r="O21" s="376" t="e">
        <f>AC21+AD21+5</f>
        <v>#N/A</v>
      </c>
      <c r="P21" s="86">
        <f>B21</f>
        <v>30</v>
      </c>
      <c r="Q21" s="131">
        <f>$A21</f>
        <v>2</v>
      </c>
      <c r="R21" s="131">
        <v>1</v>
      </c>
      <c r="S21" s="131">
        <f>$A21</f>
        <v>2</v>
      </c>
      <c r="T21" s="236"/>
      <c r="U21" s="236"/>
      <c r="V21" s="236"/>
      <c r="W21" s="236"/>
      <c r="X21" s="236"/>
      <c r="Y21" s="236"/>
      <c r="Z21" s="236"/>
      <c r="AA21" s="123"/>
      <c r="AB21" s="86"/>
      <c r="AC21" s="131" t="e">
        <f>IF(AND(Q21&gt;16,M21&gt;=4600),"1",LOOKUP(Q21,Q$5:AH$5,Q$6:AH$6))</f>
        <v>#N/A</v>
      </c>
      <c r="AD21" s="131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</row>
    <row r="22" spans="1:49" s="131" customFormat="1" x14ac:dyDescent="0.35">
      <c r="A22" s="376"/>
      <c r="B22" s="331"/>
      <c r="C22" s="378" t="e">
        <f>VLOOKUP(B21,Уч!$A$2:$L$16,5,FALSE)</f>
        <v>#N/A</v>
      </c>
      <c r="D22" s="333" t="e">
        <f>VLOOKUP(B21,Уч!$A$2:$L$16,4,FALSE)</f>
        <v>#N/A</v>
      </c>
      <c r="E22" s="285" t="s">
        <v>25</v>
      </c>
      <c r="F22" s="371" t="e">
        <f>VLOOKUP($B21,'110 сб '!$C$17:$I$87,6,FALSE)</f>
        <v>#N/A</v>
      </c>
      <c r="G22" s="369"/>
      <c r="H22" s="369"/>
      <c r="I22" s="371">
        <f>VLOOKUP($B21,'2_р'!$C$17:$I$68,6,FALSE)</f>
        <v>1.2</v>
      </c>
      <c r="J22" s="371">
        <f>VLOOKUP($B21,Дл_р!$C$17:$O$43,12,FALSE)</f>
        <v>0.6</v>
      </c>
      <c r="K22" s="369"/>
      <c r="L22" s="370"/>
      <c r="M22" s="383"/>
      <c r="N22" s="331"/>
      <c r="O22" s="376" t="e">
        <f>CONCATENATE(AC21,"+",AD21,"+",5)</f>
        <v>#N/A</v>
      </c>
      <c r="P22" s="86">
        <f>B21</f>
        <v>30</v>
      </c>
      <c r="Q22" s="131">
        <f>$A21</f>
        <v>2</v>
      </c>
      <c r="R22" s="131">
        <v>2</v>
      </c>
      <c r="S22" s="131">
        <f>$A21</f>
        <v>2</v>
      </c>
      <c r="T22" s="236"/>
      <c r="U22" s="236"/>
      <c r="V22" s="236"/>
      <c r="W22" s="236"/>
      <c r="X22" s="236"/>
      <c r="Y22" s="236"/>
      <c r="Z22" s="236"/>
      <c r="AA22" s="123"/>
      <c r="AB22" s="86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</row>
    <row r="23" spans="1:49" s="123" customFormat="1" x14ac:dyDescent="0.35">
      <c r="A23" s="376"/>
      <c r="B23" s="331"/>
      <c r="C23" s="379" t="e">
        <f>VLOOKUP(B21,Уч!$A$2:$L$16,7,FALSE)</f>
        <v>#N/A</v>
      </c>
      <c r="D23" s="372"/>
      <c r="E23" s="285" t="s">
        <v>29</v>
      </c>
      <c r="F23" s="370" t="e">
        <f>VLOOKUP($B21,'110 сб '!$C$17:$I$87,7,FALSE)</f>
        <v>#N/A</v>
      </c>
      <c r="G23" s="370" t="e">
        <f>VLOOKUP($B21,высота!$C$17:$AF$42,30,FALSE)</f>
        <v>#N/A</v>
      </c>
      <c r="H23" s="370" t="e">
        <f>VLOOKUP($B21,ядро!$C$17:$K$43,9,FALSE)</f>
        <v>#N/A</v>
      </c>
      <c r="I23" s="370">
        <f>VLOOKUP($B21,'2_р'!$C$17:$I$68,7,FALSE)</f>
        <v>859</v>
      </c>
      <c r="J23" s="370">
        <f>VLOOKUP($B21,Дл_р!$C$17:$O$43,13,FALSE)</f>
        <v>750</v>
      </c>
      <c r="K23" s="370">
        <f>VLOOKUP($B21,К_р!$C$18:$K$31,9,FALSE)</f>
        <v>691</v>
      </c>
      <c r="L23" s="370">
        <f>VLOOKUP($B21,'8_р'!$C$17:$H$77,6,FALSE)</f>
        <v>879</v>
      </c>
      <c r="M23" s="383"/>
      <c r="N23" s="294"/>
      <c r="O23" s="383"/>
      <c r="P23" s="243">
        <f>B21</f>
        <v>30</v>
      </c>
      <c r="Q23" s="131">
        <f>$A21</f>
        <v>2</v>
      </c>
      <c r="R23" s="131">
        <v>3</v>
      </c>
      <c r="S23" s="131">
        <f>$A21</f>
        <v>2</v>
      </c>
      <c r="T23" s="236"/>
      <c r="U23" s="236"/>
      <c r="V23" s="236"/>
      <c r="W23" s="236"/>
      <c r="X23" s="236"/>
      <c r="Y23" s="236"/>
      <c r="Z23" s="236"/>
      <c r="AB23" s="86"/>
      <c r="AC23" s="131"/>
      <c r="AD23" s="131"/>
    </row>
    <row r="24" spans="1:49" s="123" customFormat="1" x14ac:dyDescent="0.35">
      <c r="A24" s="376"/>
      <c r="B24" s="331"/>
      <c r="C24" s="379" t="e">
        <f>VLOOKUP(B21,Уч!$A$2:$L$16,11,FALSE)</f>
        <v>#N/A</v>
      </c>
      <c r="D24" s="373"/>
      <c r="E24" s="285" t="s">
        <v>125</v>
      </c>
      <c r="F24" s="370" t="e">
        <f>F23</f>
        <v>#N/A</v>
      </c>
      <c r="G24" s="370" t="e">
        <f t="shared" ref="G24:L24" si="2">F24+G23</f>
        <v>#N/A</v>
      </c>
      <c r="H24" s="370" t="e">
        <f t="shared" si="2"/>
        <v>#N/A</v>
      </c>
      <c r="I24" s="370" t="e">
        <f t="shared" si="2"/>
        <v>#N/A</v>
      </c>
      <c r="J24" s="370" t="e">
        <f t="shared" si="2"/>
        <v>#N/A</v>
      </c>
      <c r="K24" s="370" t="e">
        <f t="shared" si="2"/>
        <v>#N/A</v>
      </c>
      <c r="L24" s="370" t="e">
        <f t="shared" si="2"/>
        <v>#N/A</v>
      </c>
      <c r="M24" s="383"/>
      <c r="N24" s="294"/>
      <c r="O24" s="383"/>
      <c r="P24" s="243">
        <f>B21</f>
        <v>30</v>
      </c>
      <c r="Q24" s="131">
        <f>$A21</f>
        <v>2</v>
      </c>
      <c r="R24" s="131">
        <v>4</v>
      </c>
      <c r="S24" s="131">
        <f>$A21</f>
        <v>2</v>
      </c>
      <c r="T24" s="152" t="e">
        <f t="shared" ref="T24:Z24" si="3">F24</f>
        <v>#N/A</v>
      </c>
      <c r="U24" s="152" t="e">
        <f t="shared" si="3"/>
        <v>#N/A</v>
      </c>
      <c r="V24" s="152" t="e">
        <f t="shared" si="3"/>
        <v>#N/A</v>
      </c>
      <c r="W24" s="152" t="e">
        <f t="shared" si="3"/>
        <v>#N/A</v>
      </c>
      <c r="X24" s="152" t="e">
        <f t="shared" si="3"/>
        <v>#N/A</v>
      </c>
      <c r="Y24" s="152" t="e">
        <f t="shared" si="3"/>
        <v>#N/A</v>
      </c>
      <c r="Z24" s="152" t="e">
        <f t="shared" si="3"/>
        <v>#N/A</v>
      </c>
      <c r="AB24" s="86"/>
      <c r="AC24" s="131"/>
      <c r="AD24" s="131"/>
    </row>
    <row r="25" spans="1:49" s="123" customFormat="1" x14ac:dyDescent="0.35">
      <c r="A25" s="324"/>
      <c r="B25" s="385"/>
      <c r="C25" s="325"/>
      <c r="D25" s="386"/>
      <c r="E25" s="381" t="s">
        <v>60</v>
      </c>
      <c r="F25" s="387" t="e">
        <f>RANK(F24,$T$19:$T$90,0)</f>
        <v>#N/A</v>
      </c>
      <c r="G25" s="387" t="e">
        <f>RANK(G24,$U$19:$U$80,0)</f>
        <v>#N/A</v>
      </c>
      <c r="H25" s="387" t="e">
        <f>RANK(H24,$V$19:$V$80,0)</f>
        <v>#N/A</v>
      </c>
      <c r="I25" s="387" t="e">
        <f>RANK(I24,$W$19:$W$79,0)</f>
        <v>#N/A</v>
      </c>
      <c r="J25" s="387" t="e">
        <f>RANK(J24,$X$19:$X$79,0)</f>
        <v>#N/A</v>
      </c>
      <c r="K25" s="387" t="e">
        <f>RANK(K24,$Y$19:$Y$85,0)</f>
        <v>#N/A</v>
      </c>
      <c r="L25" s="387" t="e">
        <f>RANK(L24,$Z$19:$Z$85,0)</f>
        <v>#N/A</v>
      </c>
      <c r="M25" s="384"/>
      <c r="N25" s="388"/>
      <c r="O25" s="384"/>
      <c r="P25" s="243">
        <f>B21</f>
        <v>30</v>
      </c>
      <c r="Q25" s="131">
        <f>$A21</f>
        <v>2</v>
      </c>
      <c r="R25" s="131">
        <v>5</v>
      </c>
      <c r="S25" s="131">
        <f>$A21</f>
        <v>2</v>
      </c>
      <c r="T25" s="236"/>
      <c r="U25" s="236"/>
      <c r="V25" s="236"/>
      <c r="W25" s="236"/>
      <c r="X25" s="236"/>
      <c r="Y25" s="236"/>
      <c r="Z25" s="236"/>
      <c r="AB25" s="86"/>
      <c r="AC25" s="131"/>
      <c r="AD25" s="131"/>
    </row>
    <row r="26" spans="1:49" s="123" customFormat="1" x14ac:dyDescent="0.35">
      <c r="A26" s="376">
        <v>3</v>
      </c>
      <c r="B26" s="331">
        <v>37</v>
      </c>
      <c r="C26" s="378" t="e">
        <f>VLOOKUP(B26,Уч!$A$2:$L$16,2,FALSE)</f>
        <v>#N/A</v>
      </c>
      <c r="D26" s="333" t="e">
        <f>VLOOKUP(B26,Уч!$A$2:$L$16,3,FALSE)</f>
        <v>#N/A</v>
      </c>
      <c r="E26" s="285" t="s">
        <v>18</v>
      </c>
      <c r="F26" s="369" t="e">
        <f>VLOOKUP($B26,'110 сб '!$C$17:$I$87,5,FALSE)</f>
        <v>#N/A</v>
      </c>
      <c r="G26" s="369" t="e">
        <f>VLOOKUP($B26,высота!$C$17:$AF$42,29,FALSE)</f>
        <v>#N/A</v>
      </c>
      <c r="H26" s="369" t="e">
        <f>VLOOKUP($B26,ядро!$C$17:$K$43,8,FALSE)</f>
        <v>#N/A</v>
      </c>
      <c r="I26" s="369">
        <f>VLOOKUP($B26,'2_р'!$C$17:$I$68,5,FALSE)</f>
        <v>24.78</v>
      </c>
      <c r="J26" s="369">
        <f>VLOOKUP($B26,Дл_р!$C$17:$O$43,11,FALSE)</f>
        <v>5.92</v>
      </c>
      <c r="K26" s="369">
        <f>VLOOKUP($B26,К_р!$C$18:$K$31,8,FALSE)</f>
        <v>39.270000000000003</v>
      </c>
      <c r="L26" s="370" t="str">
        <f>VLOOKUP($B26,'8_р'!$C$17:$H$77,5,FALSE)</f>
        <v>2:16.34</v>
      </c>
      <c r="M26" s="383" t="e">
        <f>SUM(F28:L28)</f>
        <v>#N/A</v>
      </c>
      <c r="N26" s="331" t="e">
        <f>LOOKUP(M26,R$1:AA$1,R$2:AA$2)</f>
        <v>#N/A</v>
      </c>
      <c r="O26" s="399" t="e">
        <f>AC26+AD26+5</f>
        <v>#N/A</v>
      </c>
      <c r="P26" s="86">
        <f>B26</f>
        <v>37</v>
      </c>
      <c r="Q26" s="131">
        <f>$A26</f>
        <v>3</v>
      </c>
      <c r="R26" s="131">
        <v>1</v>
      </c>
      <c r="S26" s="131">
        <f>$A26</f>
        <v>3</v>
      </c>
      <c r="T26" s="236"/>
      <c r="U26" s="236"/>
      <c r="V26" s="236"/>
      <c r="W26" s="236"/>
      <c r="X26" s="236"/>
      <c r="Y26" s="236"/>
      <c r="Z26" s="236"/>
      <c r="AB26" s="86"/>
      <c r="AC26" s="131" t="e">
        <f>IF(AND(Q26&gt;16,M26&gt;=4600),"1",LOOKUP(Q26,Q$5:AH$5,Q$6:AH$6))</f>
        <v>#N/A</v>
      </c>
      <c r="AD26" s="131" t="e">
        <f>LOOKUP(N26,R$8:W$8,R$9:W$9)</f>
        <v>#N/A</v>
      </c>
    </row>
    <row r="27" spans="1:49" s="123" customFormat="1" x14ac:dyDescent="0.35">
      <c r="A27" s="376"/>
      <c r="B27" s="331"/>
      <c r="C27" s="378" t="e">
        <f>VLOOKUP(B26,Уч!$A$2:$L$16,5,FALSE)</f>
        <v>#N/A</v>
      </c>
      <c r="D27" s="333" t="e">
        <f>VLOOKUP(B26,Уч!$A$2:$L$16,4,FALSE)</f>
        <v>#N/A</v>
      </c>
      <c r="E27" s="285" t="s">
        <v>25</v>
      </c>
      <c r="F27" s="371" t="e">
        <f>VLOOKUP($B26,'110 сб '!$C$17:$I$87,6,FALSE)</f>
        <v>#N/A</v>
      </c>
      <c r="G27" s="369"/>
      <c r="H27" s="369"/>
      <c r="I27" s="371">
        <f>VLOOKUP($B26,'2_р'!$C$17:$I$68,6,FALSE)</f>
        <v>1.2</v>
      </c>
      <c r="J27" s="371">
        <f>VLOOKUP($B26,Дл_р!$C$17:$O$43,12,FALSE)</f>
        <v>-1</v>
      </c>
      <c r="K27" s="369"/>
      <c r="L27" s="370"/>
      <c r="M27" s="383"/>
      <c r="N27" s="331"/>
      <c r="O27" s="399" t="e">
        <f>CONCATENATE(AC26,"+",AD26,"+",5)</f>
        <v>#N/A</v>
      </c>
      <c r="P27" s="86">
        <f>B26</f>
        <v>37</v>
      </c>
      <c r="Q27" s="131">
        <f>$A26</f>
        <v>3</v>
      </c>
      <c r="R27" s="131">
        <v>2</v>
      </c>
      <c r="S27" s="131">
        <f>$A26</f>
        <v>3</v>
      </c>
      <c r="T27" s="236"/>
      <c r="U27" s="236"/>
      <c r="V27" s="236"/>
      <c r="W27" s="236"/>
      <c r="X27" s="236"/>
      <c r="Y27" s="236"/>
      <c r="Z27" s="236"/>
      <c r="AB27" s="86"/>
      <c r="AC27" s="131"/>
      <c r="AD27" s="131"/>
    </row>
    <row r="28" spans="1:49" s="123" customFormat="1" x14ac:dyDescent="0.35">
      <c r="A28" s="376"/>
      <c r="B28" s="331"/>
      <c r="C28" s="379" t="e">
        <f>VLOOKUP(B26,Уч!$A$2:$L$16,7,FALSE)</f>
        <v>#N/A</v>
      </c>
      <c r="D28" s="372"/>
      <c r="E28" s="285" t="s">
        <v>29</v>
      </c>
      <c r="F28" s="370" t="e">
        <f>VLOOKUP($B26,'110 сб '!$C$17:$I$87,7,FALSE)</f>
        <v>#N/A</v>
      </c>
      <c r="G28" s="370" t="e">
        <f>VLOOKUP($B26,высота!$C$17:$AF$42,30,FALSE)</f>
        <v>#N/A</v>
      </c>
      <c r="H28" s="370" t="e">
        <f>VLOOKUP($B26,ядро!$C$17:$K$43,9,FALSE)</f>
        <v>#N/A</v>
      </c>
      <c r="I28" s="370">
        <f>VLOOKUP($B26,'2_р'!$C$17:$I$68,7,FALSE)</f>
        <v>907</v>
      </c>
      <c r="J28" s="370">
        <f>VLOOKUP($B26,Дл_р!$C$17:$O$43,13,FALSE)</f>
        <v>825</v>
      </c>
      <c r="K28" s="370">
        <f>VLOOKUP($B26,К_р!$C$18:$K$31,9,FALSE)</f>
        <v>653</v>
      </c>
      <c r="L28" s="370">
        <f>VLOOKUP($B26,'8_р'!$C$17:$H$77,6,FALSE)</f>
        <v>874</v>
      </c>
      <c r="M28" s="383"/>
      <c r="N28" s="294"/>
      <c r="O28" s="383"/>
      <c r="P28" s="243">
        <f>B26</f>
        <v>37</v>
      </c>
      <c r="Q28" s="131">
        <f>$A26</f>
        <v>3</v>
      </c>
      <c r="R28" s="131">
        <v>3</v>
      </c>
      <c r="S28" s="131">
        <f>$A26</f>
        <v>3</v>
      </c>
      <c r="T28" s="236"/>
      <c r="U28" s="236"/>
      <c r="V28" s="236"/>
      <c r="W28" s="236"/>
      <c r="X28" s="236"/>
      <c r="Y28" s="236"/>
      <c r="Z28" s="236"/>
      <c r="AB28" s="86"/>
      <c r="AC28" s="131"/>
      <c r="AD28" s="131"/>
    </row>
    <row r="29" spans="1:49" s="123" customFormat="1" x14ac:dyDescent="0.35">
      <c r="A29" s="376"/>
      <c r="B29" s="331"/>
      <c r="C29" s="379" t="e">
        <f>VLOOKUP(B26,Уч!$A$2:$L$16,11,FALSE)</f>
        <v>#N/A</v>
      </c>
      <c r="D29" s="373"/>
      <c r="E29" s="285" t="s">
        <v>125</v>
      </c>
      <c r="F29" s="370" t="e">
        <f>F28</f>
        <v>#N/A</v>
      </c>
      <c r="G29" s="370" t="e">
        <f t="shared" ref="G29:L29" si="4">F29+G28</f>
        <v>#N/A</v>
      </c>
      <c r="H29" s="370" t="e">
        <f t="shared" si="4"/>
        <v>#N/A</v>
      </c>
      <c r="I29" s="370" t="e">
        <f t="shared" si="4"/>
        <v>#N/A</v>
      </c>
      <c r="J29" s="370" t="e">
        <f t="shared" si="4"/>
        <v>#N/A</v>
      </c>
      <c r="K29" s="370" t="e">
        <f t="shared" si="4"/>
        <v>#N/A</v>
      </c>
      <c r="L29" s="370" t="e">
        <f t="shared" si="4"/>
        <v>#N/A</v>
      </c>
      <c r="M29" s="383"/>
      <c r="N29" s="294"/>
      <c r="O29" s="383"/>
      <c r="P29" s="243">
        <f>B26</f>
        <v>37</v>
      </c>
      <c r="Q29" s="131">
        <f>$A26</f>
        <v>3</v>
      </c>
      <c r="R29" s="131">
        <v>4</v>
      </c>
      <c r="S29" s="131">
        <f>$A26</f>
        <v>3</v>
      </c>
      <c r="T29" s="152" t="e">
        <f t="shared" ref="T29:Z29" si="5">F29</f>
        <v>#N/A</v>
      </c>
      <c r="U29" s="152" t="e">
        <f t="shared" si="5"/>
        <v>#N/A</v>
      </c>
      <c r="V29" s="152" t="e">
        <f t="shared" si="5"/>
        <v>#N/A</v>
      </c>
      <c r="W29" s="152" t="e">
        <f t="shared" si="5"/>
        <v>#N/A</v>
      </c>
      <c r="X29" s="152" t="e">
        <f t="shared" si="5"/>
        <v>#N/A</v>
      </c>
      <c r="Y29" s="152" t="e">
        <f t="shared" si="5"/>
        <v>#N/A</v>
      </c>
      <c r="Z29" s="152" t="e">
        <f t="shared" si="5"/>
        <v>#N/A</v>
      </c>
      <c r="AB29" s="86"/>
      <c r="AC29" s="131"/>
      <c r="AD29" s="131"/>
    </row>
    <row r="30" spans="1:49" s="123" customFormat="1" x14ac:dyDescent="0.35">
      <c r="A30" s="324"/>
      <c r="B30" s="385"/>
      <c r="C30" s="325"/>
      <c r="D30" s="386"/>
      <c r="E30" s="381" t="s">
        <v>60</v>
      </c>
      <c r="F30" s="387" t="e">
        <f>RANK(F29,$T$19:$T$90,0)</f>
        <v>#N/A</v>
      </c>
      <c r="G30" s="387" t="e">
        <f>RANK(G29,$U$19:$U$80,0)</f>
        <v>#N/A</v>
      </c>
      <c r="H30" s="387" t="e">
        <f>RANK(H29,$V$19:$V$80,0)</f>
        <v>#N/A</v>
      </c>
      <c r="I30" s="387" t="e">
        <f>RANK(I29,$W$19:$W$79,0)</f>
        <v>#N/A</v>
      </c>
      <c r="J30" s="387" t="e">
        <f>RANK(J29,$X$19:$X$79,0)</f>
        <v>#N/A</v>
      </c>
      <c r="K30" s="387" t="e">
        <f>RANK(K29,$Y$19:$Y$85,0)</f>
        <v>#N/A</v>
      </c>
      <c r="L30" s="387" t="e">
        <f>RANK(L29,$Z$19:$Z$85,0)</f>
        <v>#N/A</v>
      </c>
      <c r="M30" s="384"/>
      <c r="N30" s="388"/>
      <c r="O30" s="384"/>
      <c r="P30" s="243">
        <f>B26</f>
        <v>37</v>
      </c>
      <c r="Q30" s="131">
        <f>$A26</f>
        <v>3</v>
      </c>
      <c r="R30" s="131">
        <v>5</v>
      </c>
      <c r="S30" s="131">
        <f>$A26</f>
        <v>3</v>
      </c>
      <c r="T30" s="236"/>
      <c r="U30" s="236"/>
      <c r="V30" s="236"/>
      <c r="W30" s="236"/>
      <c r="X30" s="236"/>
      <c r="Y30" s="236"/>
      <c r="Z30" s="236"/>
      <c r="AB30" s="86"/>
      <c r="AC30" s="131"/>
      <c r="AD30" s="131"/>
    </row>
    <row r="31" spans="1:49" s="123" customFormat="1" x14ac:dyDescent="0.35">
      <c r="A31" s="376">
        <v>4</v>
      </c>
      <c r="B31" s="331">
        <v>19</v>
      </c>
      <c r="C31" s="378" t="e">
        <f>VLOOKUP(B31,Уч!$A$2:$L$16,2,FALSE)</f>
        <v>#N/A</v>
      </c>
      <c r="D31" s="333" t="e">
        <f>VLOOKUP(B31,Уч!$A$2:$L$16,3,FALSE)</f>
        <v>#N/A</v>
      </c>
      <c r="E31" s="285" t="s">
        <v>18</v>
      </c>
      <c r="F31" s="369" t="e">
        <f>VLOOKUP($B31,'110 сб '!$C$17:$I$87,5,FALSE)</f>
        <v>#N/A</v>
      </c>
      <c r="G31" s="369" t="e">
        <f>VLOOKUP($B31,высота!$C$17:$AF$42,29,FALSE)</f>
        <v>#N/A</v>
      </c>
      <c r="H31" s="369" t="e">
        <f>VLOOKUP($B31,ядро!$C$17:$K$43,8,FALSE)</f>
        <v>#N/A</v>
      </c>
      <c r="I31" s="369">
        <f>VLOOKUP($B31,'2_р'!$C$17:$I$68,5,FALSE)</f>
        <v>26.05</v>
      </c>
      <c r="J31" s="369">
        <f>VLOOKUP($B31,Дл_р!$C$17:$O$43,11,FALSE)</f>
        <v>5.83</v>
      </c>
      <c r="K31" s="369">
        <f>VLOOKUP($B31,К_р!$C$18:$K$31,8,FALSE)</f>
        <v>38.32</v>
      </c>
      <c r="L31" s="370" t="str">
        <f>VLOOKUP($B31,'8_р'!$C$17:$H$77,5,FALSE)</f>
        <v>2:15.47</v>
      </c>
      <c r="M31" s="383" t="e">
        <f>SUM(F33:L33)</f>
        <v>#N/A</v>
      </c>
      <c r="N31" s="331" t="e">
        <f>LOOKUP(M31,R$1:AA$1,R$2:AA$2)</f>
        <v>#N/A</v>
      </c>
      <c r="O31" s="376" t="e">
        <f>AC31+AD31+5</f>
        <v>#N/A</v>
      </c>
      <c r="P31" s="86">
        <f>B31</f>
        <v>19</v>
      </c>
      <c r="Q31" s="131">
        <f>$A31</f>
        <v>4</v>
      </c>
      <c r="R31" s="131">
        <v>1</v>
      </c>
      <c r="S31" s="131">
        <f>$A31</f>
        <v>4</v>
      </c>
      <c r="T31" s="236"/>
      <c r="U31" s="236"/>
      <c r="V31" s="236"/>
      <c r="W31" s="236"/>
      <c r="X31" s="236"/>
      <c r="Y31" s="236"/>
      <c r="Z31" s="236"/>
      <c r="AB31" s="86"/>
      <c r="AC31" s="131">
        <v>15</v>
      </c>
      <c r="AD31" s="131" t="e">
        <f>LOOKUP(N31,R$8:W$8,R$9:W$9)</f>
        <v>#N/A</v>
      </c>
    </row>
    <row r="32" spans="1:49" s="123" customFormat="1" x14ac:dyDescent="0.35">
      <c r="A32" s="376"/>
      <c r="B32" s="331"/>
      <c r="C32" s="378" t="e">
        <f>VLOOKUP(B31,Уч!$A$2:$L$16,5,FALSE)</f>
        <v>#N/A</v>
      </c>
      <c r="D32" s="333" t="e">
        <f>VLOOKUP(B31,Уч!$A$2:$L$16,4,FALSE)</f>
        <v>#N/A</v>
      </c>
      <c r="E32" s="285" t="s">
        <v>25</v>
      </c>
      <c r="F32" s="371" t="e">
        <f>VLOOKUP($B31,'110 сб '!$C$17:$I$87,6,FALSE)</f>
        <v>#N/A</v>
      </c>
      <c r="G32" s="369"/>
      <c r="H32" s="369"/>
      <c r="I32" s="371">
        <f>VLOOKUP($B31,'2_р'!$C$17:$I$68,6,FALSE)</f>
        <v>1.2</v>
      </c>
      <c r="J32" s="371">
        <f>VLOOKUP($B31,Дл_р!$C$17:$O$43,12,FALSE)</f>
        <v>0.2</v>
      </c>
      <c r="K32" s="369"/>
      <c r="L32" s="370"/>
      <c r="M32" s="383"/>
      <c r="N32" s="331"/>
      <c r="O32" s="376" t="e">
        <f>CONCATENATE(AC31,"+",AD31,"+",5)</f>
        <v>#N/A</v>
      </c>
      <c r="P32" s="86">
        <f>B31</f>
        <v>19</v>
      </c>
      <c r="Q32" s="131">
        <f>$A31</f>
        <v>4</v>
      </c>
      <c r="R32" s="131">
        <v>2</v>
      </c>
      <c r="S32" s="131">
        <f>$A31</f>
        <v>4</v>
      </c>
      <c r="T32" s="236"/>
      <c r="U32" s="236"/>
      <c r="V32" s="236"/>
      <c r="W32" s="236"/>
      <c r="X32" s="236"/>
      <c r="Y32" s="236"/>
      <c r="Z32" s="236"/>
      <c r="AB32" s="86"/>
      <c r="AC32" s="131"/>
      <c r="AD32" s="131"/>
    </row>
    <row r="33" spans="1:30" s="123" customFormat="1" x14ac:dyDescent="0.35">
      <c r="A33" s="376"/>
      <c r="B33" s="331"/>
      <c r="C33" s="379" t="e">
        <f>VLOOKUP(B31,Уч!$A$2:$L$16,7,FALSE)</f>
        <v>#N/A</v>
      </c>
      <c r="D33" s="372"/>
      <c r="E33" s="285" t="s">
        <v>29</v>
      </c>
      <c r="F33" s="370" t="e">
        <f>VLOOKUP($B31,'110 сб '!$C$17:$I$87,7,FALSE)</f>
        <v>#N/A</v>
      </c>
      <c r="G33" s="370" t="e">
        <f>VLOOKUP($B31,высота!$C$17:$AF$42,30,FALSE)</f>
        <v>#N/A</v>
      </c>
      <c r="H33" s="370" t="e">
        <f>VLOOKUP($B31,ядро!$C$17:$K$43,9,FALSE)</f>
        <v>#N/A</v>
      </c>
      <c r="I33" s="370">
        <f>VLOOKUP($B31,'2_р'!$C$17:$I$68,7,FALSE)</f>
        <v>793</v>
      </c>
      <c r="J33" s="370">
        <f>VLOOKUP($B31,Дл_р!$C$17:$O$43,13,FALSE)</f>
        <v>798</v>
      </c>
      <c r="K33" s="370">
        <f>VLOOKUP($B31,К_р!$C$18:$K$31,9,FALSE)</f>
        <v>635</v>
      </c>
      <c r="L33" s="370">
        <f>VLOOKUP($B31,'8_р'!$C$17:$H$77,6,FALSE)</f>
        <v>886</v>
      </c>
      <c r="M33" s="383"/>
      <c r="N33" s="294"/>
      <c r="O33" s="383"/>
      <c r="P33" s="243">
        <f>B31</f>
        <v>19</v>
      </c>
      <c r="Q33" s="131">
        <f>$A31</f>
        <v>4</v>
      </c>
      <c r="R33" s="131">
        <v>3</v>
      </c>
      <c r="S33" s="131">
        <f>$A31</f>
        <v>4</v>
      </c>
      <c r="T33" s="236"/>
      <c r="U33" s="236"/>
      <c r="V33" s="236"/>
      <c r="W33" s="236"/>
      <c r="X33" s="236"/>
      <c r="Y33" s="236"/>
      <c r="Z33" s="236"/>
      <c r="AB33" s="86"/>
      <c r="AC33" s="131"/>
      <c r="AD33" s="131"/>
    </row>
    <row r="34" spans="1:30" s="123" customFormat="1" x14ac:dyDescent="0.35">
      <c r="A34" s="376"/>
      <c r="B34" s="331"/>
      <c r="C34" s="379" t="e">
        <f>VLOOKUP(B31,Уч!$A$2:$L$16,11,FALSE)</f>
        <v>#N/A</v>
      </c>
      <c r="D34" s="373"/>
      <c r="E34" s="285" t="s">
        <v>125</v>
      </c>
      <c r="F34" s="370" t="e">
        <f>F33</f>
        <v>#N/A</v>
      </c>
      <c r="G34" s="370" t="e">
        <f t="shared" ref="G34:L34" si="6">F34+G33</f>
        <v>#N/A</v>
      </c>
      <c r="H34" s="370" t="e">
        <f t="shared" si="6"/>
        <v>#N/A</v>
      </c>
      <c r="I34" s="370" t="e">
        <f t="shared" si="6"/>
        <v>#N/A</v>
      </c>
      <c r="J34" s="370" t="e">
        <f t="shared" si="6"/>
        <v>#N/A</v>
      </c>
      <c r="K34" s="370" t="e">
        <f t="shared" si="6"/>
        <v>#N/A</v>
      </c>
      <c r="L34" s="370" t="e">
        <f t="shared" si="6"/>
        <v>#N/A</v>
      </c>
      <c r="M34" s="383"/>
      <c r="N34" s="294"/>
      <c r="O34" s="383"/>
      <c r="P34" s="243">
        <f>B31</f>
        <v>19</v>
      </c>
      <c r="Q34" s="131">
        <f>$A31</f>
        <v>4</v>
      </c>
      <c r="R34" s="131">
        <v>4</v>
      </c>
      <c r="S34" s="131">
        <f>$A31</f>
        <v>4</v>
      </c>
      <c r="T34" s="152" t="e">
        <f t="shared" ref="T34:Z34" si="7">F34</f>
        <v>#N/A</v>
      </c>
      <c r="U34" s="152" t="e">
        <f t="shared" si="7"/>
        <v>#N/A</v>
      </c>
      <c r="V34" s="152" t="e">
        <f t="shared" si="7"/>
        <v>#N/A</v>
      </c>
      <c r="W34" s="152" t="e">
        <f t="shared" si="7"/>
        <v>#N/A</v>
      </c>
      <c r="X34" s="152" t="e">
        <f t="shared" si="7"/>
        <v>#N/A</v>
      </c>
      <c r="Y34" s="152" t="e">
        <f t="shared" si="7"/>
        <v>#N/A</v>
      </c>
      <c r="Z34" s="152" t="e">
        <f t="shared" si="7"/>
        <v>#N/A</v>
      </c>
      <c r="AB34" s="86"/>
      <c r="AC34" s="131"/>
      <c r="AD34" s="131"/>
    </row>
    <row r="35" spans="1:30" s="123" customFormat="1" x14ac:dyDescent="0.35">
      <c r="A35" s="324"/>
      <c r="B35" s="385"/>
      <c r="C35" s="325"/>
      <c r="D35" s="386"/>
      <c r="E35" s="381" t="s">
        <v>60</v>
      </c>
      <c r="F35" s="387" t="e">
        <f>RANK(F34,$T$19:$T$90,0)</f>
        <v>#N/A</v>
      </c>
      <c r="G35" s="387" t="e">
        <f>RANK(G34,$U$19:$U$80,0)</f>
        <v>#N/A</v>
      </c>
      <c r="H35" s="387" t="e">
        <f>RANK(H34,$V$19:$V$80,0)</f>
        <v>#N/A</v>
      </c>
      <c r="I35" s="387" t="e">
        <f>RANK(I34,$W$19:$W$79,0)</f>
        <v>#N/A</v>
      </c>
      <c r="J35" s="387" t="e">
        <f>RANK(J34,$X$19:$X$79,0)</f>
        <v>#N/A</v>
      </c>
      <c r="K35" s="387" t="e">
        <f>RANK(K34,$Y$19:$Y$85,0)</f>
        <v>#N/A</v>
      </c>
      <c r="L35" s="387" t="e">
        <f>RANK(L34,$Z$19:$Z$85,0)</f>
        <v>#N/A</v>
      </c>
      <c r="M35" s="384"/>
      <c r="N35" s="388"/>
      <c r="O35" s="384"/>
      <c r="P35" s="243">
        <f>B31</f>
        <v>19</v>
      </c>
      <c r="Q35" s="131">
        <f>$A31</f>
        <v>4</v>
      </c>
      <c r="R35" s="131">
        <v>5</v>
      </c>
      <c r="S35" s="131">
        <f>$A31</f>
        <v>4</v>
      </c>
      <c r="T35" s="236"/>
      <c r="U35" s="236"/>
      <c r="V35" s="236"/>
      <c r="W35" s="236"/>
      <c r="X35" s="236"/>
      <c r="Y35" s="236"/>
      <c r="Z35" s="236"/>
      <c r="AB35" s="86"/>
      <c r="AC35" s="131"/>
      <c r="AD35" s="131"/>
    </row>
    <row r="36" spans="1:30" s="123" customFormat="1" x14ac:dyDescent="0.35">
      <c r="A36" s="376">
        <v>5</v>
      </c>
      <c r="B36" s="331">
        <v>21</v>
      </c>
      <c r="C36" s="378" t="e">
        <f>VLOOKUP(B36,Уч!$A$2:$L$16,2,FALSE)</f>
        <v>#N/A</v>
      </c>
      <c r="D36" s="333" t="e">
        <f>VLOOKUP(B36,Уч!$A$2:$L$16,3,FALSE)</f>
        <v>#N/A</v>
      </c>
      <c r="E36" s="285" t="s">
        <v>18</v>
      </c>
      <c r="F36" s="369" t="e">
        <f>VLOOKUP($B36,'110 сб '!$C$17:$I$87,5,FALSE)</f>
        <v>#N/A</v>
      </c>
      <c r="G36" s="369" t="e">
        <f>VLOOKUP($B36,высота!$C$17:$AF$42,29,FALSE)</f>
        <v>#N/A</v>
      </c>
      <c r="H36" s="369" t="e">
        <f>VLOOKUP($B36,ядро!$C$17:$K$43,8,FALSE)</f>
        <v>#N/A</v>
      </c>
      <c r="I36" s="369">
        <f>VLOOKUP($B36,'2_р'!$C$17:$I$68,5,FALSE)</f>
        <v>25.4</v>
      </c>
      <c r="J36" s="369">
        <f>VLOOKUP($B36,Дл_р!$C$17:$O$43,11,FALSE)</f>
        <v>5.7</v>
      </c>
      <c r="K36" s="369">
        <f>VLOOKUP($B36,К_р!$C$18:$K$31,8,FALSE)</f>
        <v>32.57</v>
      </c>
      <c r="L36" s="370" t="str">
        <f>VLOOKUP($B36,'8_р'!$C$17:$H$77,5,FALSE)</f>
        <v>2:16.94</v>
      </c>
      <c r="M36" s="383" t="e">
        <f>SUM(F38:L38)</f>
        <v>#N/A</v>
      </c>
      <c r="N36" s="331" t="e">
        <f>LOOKUP(M36,R$1:AA$1,R$2:AA$2)</f>
        <v>#N/A</v>
      </c>
      <c r="O36" s="399" t="e">
        <f>AC36+AD36+5</f>
        <v>#N/A</v>
      </c>
      <c r="P36" s="86">
        <f>B36</f>
        <v>21</v>
      </c>
      <c r="Q36" s="131">
        <f>$A36</f>
        <v>5</v>
      </c>
      <c r="R36" s="131">
        <v>1</v>
      </c>
      <c r="S36" s="131">
        <f>$A36</f>
        <v>5</v>
      </c>
      <c r="T36" s="236"/>
      <c r="U36" s="236"/>
      <c r="V36" s="236"/>
      <c r="W36" s="236"/>
      <c r="X36" s="236"/>
      <c r="Y36" s="236"/>
      <c r="Z36" s="253"/>
      <c r="AA36" s="131"/>
      <c r="AC36" s="131" t="e">
        <f>IF(AND(Q36&gt;16,M36&gt;=4600),"1",LOOKUP(Q36,Q$5:AH$5,Q$6:AH$6))</f>
        <v>#N/A</v>
      </c>
      <c r="AD36" s="131" t="e">
        <f>LOOKUP(N36,R$8:W$8,R$9:W$9)</f>
        <v>#N/A</v>
      </c>
    </row>
    <row r="37" spans="1:30" s="123" customFormat="1" x14ac:dyDescent="0.35">
      <c r="A37" s="376"/>
      <c r="B37" s="331"/>
      <c r="C37" s="378" t="e">
        <f>VLOOKUP(B36,Уч!$A$2:$L$16,5,FALSE)</f>
        <v>#N/A</v>
      </c>
      <c r="D37" s="333" t="e">
        <f>VLOOKUP(B36,Уч!$A$2:$L$16,4,FALSE)</f>
        <v>#N/A</v>
      </c>
      <c r="E37" s="285" t="s">
        <v>25</v>
      </c>
      <c r="F37" s="371" t="e">
        <f>VLOOKUP($B36,'110 сб '!$C$17:$I$87,6,FALSE)</f>
        <v>#N/A</v>
      </c>
      <c r="G37" s="369"/>
      <c r="H37" s="369"/>
      <c r="I37" s="371">
        <f>VLOOKUP($B36,'2_р'!$C$17:$I$68,6,FALSE)</f>
        <v>1.2</v>
      </c>
      <c r="J37" s="371">
        <f>VLOOKUP($B36,Дл_р!$C$17:$O$43,12,FALSE)</f>
        <v>0.3</v>
      </c>
      <c r="K37" s="369"/>
      <c r="L37" s="370"/>
      <c r="M37" s="383"/>
      <c r="N37" s="331"/>
      <c r="O37" s="399" t="e">
        <f>CONCATENATE(AC36,"+",AD36,"+",5)</f>
        <v>#N/A</v>
      </c>
      <c r="P37" s="86">
        <f>B36</f>
        <v>21</v>
      </c>
      <c r="Q37" s="131">
        <f>$A36</f>
        <v>5</v>
      </c>
      <c r="R37" s="131">
        <v>2</v>
      </c>
      <c r="S37" s="131">
        <f>$A36</f>
        <v>5</v>
      </c>
      <c r="T37" s="236"/>
      <c r="U37" s="236"/>
      <c r="V37" s="236"/>
      <c r="W37" s="236"/>
      <c r="X37" s="236"/>
      <c r="Y37" s="236"/>
      <c r="Z37" s="253"/>
      <c r="AA37" s="131"/>
      <c r="AC37" s="131"/>
      <c r="AD37" s="131"/>
    </row>
    <row r="38" spans="1:30" s="123" customFormat="1" x14ac:dyDescent="0.35">
      <c r="A38" s="376"/>
      <c r="B38" s="331"/>
      <c r="C38" s="379" t="e">
        <f>VLOOKUP(B36,Уч!$A$2:$L$16,7,FALSE)</f>
        <v>#N/A</v>
      </c>
      <c r="D38" s="372"/>
      <c r="E38" s="285" t="s">
        <v>29</v>
      </c>
      <c r="F38" s="370" t="e">
        <f>VLOOKUP($B36,'110 сб '!$C$17:$I$87,7,FALSE)</f>
        <v>#N/A</v>
      </c>
      <c r="G38" s="370" t="e">
        <f>VLOOKUP($B36,высота!$C$17:$AF$42,30,FALSE)</f>
        <v>#N/A</v>
      </c>
      <c r="H38" s="370" t="e">
        <f>VLOOKUP($B36,ядро!$C$17:$K$43,9,FALSE)</f>
        <v>#N/A</v>
      </c>
      <c r="I38" s="370">
        <f>VLOOKUP($B36,'2_р'!$C$17:$I$68,7,FALSE)</f>
        <v>850</v>
      </c>
      <c r="J38" s="370">
        <f>VLOOKUP($B36,Дл_р!$C$17:$O$43,13,FALSE)</f>
        <v>759</v>
      </c>
      <c r="K38" s="370">
        <f>VLOOKUP($B36,К_р!$C$18:$K$31,9,FALSE)</f>
        <v>525</v>
      </c>
      <c r="L38" s="370">
        <f>VLOOKUP($B36,'8_р'!$C$17:$H$77,6,FALSE)</f>
        <v>866</v>
      </c>
      <c r="M38" s="383"/>
      <c r="N38" s="294"/>
      <c r="O38" s="400"/>
      <c r="P38" s="243">
        <f>B36</f>
        <v>21</v>
      </c>
      <c r="Q38" s="131">
        <f>$A36</f>
        <v>5</v>
      </c>
      <c r="R38" s="131">
        <v>3</v>
      </c>
      <c r="S38" s="131">
        <f>$A36</f>
        <v>5</v>
      </c>
      <c r="T38" s="236"/>
      <c r="U38" s="236"/>
      <c r="V38" s="236"/>
      <c r="W38" s="236"/>
      <c r="X38" s="236"/>
      <c r="Y38" s="236"/>
      <c r="Z38" s="253"/>
      <c r="AC38" s="131"/>
      <c r="AD38" s="131"/>
    </row>
    <row r="39" spans="1:30" s="123" customFormat="1" x14ac:dyDescent="0.35">
      <c r="A39" s="376"/>
      <c r="B39" s="331"/>
      <c r="C39" s="379" t="e">
        <f>VLOOKUP(B36,Уч!$A$2:$L$16,11,FALSE)</f>
        <v>#N/A</v>
      </c>
      <c r="D39" s="373"/>
      <c r="E39" s="285" t="s">
        <v>125</v>
      </c>
      <c r="F39" s="370" t="e">
        <f>F38</f>
        <v>#N/A</v>
      </c>
      <c r="G39" s="370" t="e">
        <f t="shared" ref="G39:L39" si="8">F39+G38</f>
        <v>#N/A</v>
      </c>
      <c r="H39" s="370" t="e">
        <f t="shared" si="8"/>
        <v>#N/A</v>
      </c>
      <c r="I39" s="370" t="e">
        <f t="shared" si="8"/>
        <v>#N/A</v>
      </c>
      <c r="J39" s="370" t="e">
        <f t="shared" si="8"/>
        <v>#N/A</v>
      </c>
      <c r="K39" s="370" t="e">
        <f t="shared" si="8"/>
        <v>#N/A</v>
      </c>
      <c r="L39" s="370" t="e">
        <f t="shared" si="8"/>
        <v>#N/A</v>
      </c>
      <c r="M39" s="383"/>
      <c r="N39" s="294"/>
      <c r="O39" s="400"/>
      <c r="P39" s="243">
        <f>B36</f>
        <v>21</v>
      </c>
      <c r="Q39" s="131">
        <f>$A36</f>
        <v>5</v>
      </c>
      <c r="R39" s="131">
        <v>4</v>
      </c>
      <c r="S39" s="131">
        <f>$A36</f>
        <v>5</v>
      </c>
      <c r="T39" s="152" t="e">
        <f t="shared" ref="T39:Z39" si="9">F39</f>
        <v>#N/A</v>
      </c>
      <c r="U39" s="152" t="e">
        <f t="shared" si="9"/>
        <v>#N/A</v>
      </c>
      <c r="V39" s="152" t="e">
        <f t="shared" si="9"/>
        <v>#N/A</v>
      </c>
      <c r="W39" s="152" t="e">
        <f t="shared" si="9"/>
        <v>#N/A</v>
      </c>
      <c r="X39" s="152" t="e">
        <f t="shared" si="9"/>
        <v>#N/A</v>
      </c>
      <c r="Y39" s="152" t="e">
        <f t="shared" si="9"/>
        <v>#N/A</v>
      </c>
      <c r="Z39" s="152" t="e">
        <f t="shared" si="9"/>
        <v>#N/A</v>
      </c>
      <c r="AC39" s="131"/>
      <c r="AD39" s="131"/>
    </row>
    <row r="40" spans="1:30" s="123" customFormat="1" x14ac:dyDescent="0.35">
      <c r="A40" s="324"/>
      <c r="B40" s="385"/>
      <c r="C40" s="325" t="e">
        <f>VLOOKUP(B36,Уч!$A$2:$L$16,12,FALSE)</f>
        <v>#N/A</v>
      </c>
      <c r="D40" s="386"/>
      <c r="E40" s="381" t="s">
        <v>60</v>
      </c>
      <c r="F40" s="387" t="e">
        <f>RANK(F39,$T$19:$T$90,0)</f>
        <v>#N/A</v>
      </c>
      <c r="G40" s="387" t="e">
        <f>RANK(G39,$U$19:$U$80,0)</f>
        <v>#N/A</v>
      </c>
      <c r="H40" s="387" t="e">
        <f>RANK(H39,$V$19:$V$80,0)</f>
        <v>#N/A</v>
      </c>
      <c r="I40" s="387" t="e">
        <f>RANK(I39,$W$19:$W$79,0)</f>
        <v>#N/A</v>
      </c>
      <c r="J40" s="387" t="e">
        <f>RANK(J39,$X$19:$X$79,0)</f>
        <v>#N/A</v>
      </c>
      <c r="K40" s="387" t="e">
        <f>RANK(K39,$Y$19:$Y$85,0)</f>
        <v>#N/A</v>
      </c>
      <c r="L40" s="387" t="e">
        <f>RANK(L39,$Z$19:$Z$85,0)</f>
        <v>#N/A</v>
      </c>
      <c r="M40" s="384"/>
      <c r="N40" s="388"/>
      <c r="O40" s="401"/>
      <c r="P40" s="243">
        <f>B36</f>
        <v>21</v>
      </c>
      <c r="Q40" s="131">
        <f>$A36</f>
        <v>5</v>
      </c>
      <c r="R40" s="131">
        <v>5</v>
      </c>
      <c r="S40" s="131">
        <f>$A36</f>
        <v>5</v>
      </c>
      <c r="T40" s="236"/>
      <c r="U40" s="236"/>
      <c r="V40" s="236"/>
      <c r="W40" s="236"/>
      <c r="X40" s="236"/>
      <c r="Y40" s="236"/>
      <c r="Z40" s="253"/>
      <c r="AC40" s="131"/>
      <c r="AD40" s="131"/>
    </row>
    <row r="41" spans="1:30" s="123" customFormat="1" x14ac:dyDescent="0.35">
      <c r="A41" s="376">
        <v>6</v>
      </c>
      <c r="B41" s="331">
        <v>27</v>
      </c>
      <c r="C41" s="378" t="e">
        <f>VLOOKUP(B41,Уч!$A$2:$L$16,2,FALSE)</f>
        <v>#N/A</v>
      </c>
      <c r="D41" s="333" t="e">
        <f>VLOOKUP(B41,Уч!$A$2:$L$16,3,FALSE)</f>
        <v>#N/A</v>
      </c>
      <c r="E41" s="285" t="s">
        <v>18</v>
      </c>
      <c r="F41" s="369" t="e">
        <f>VLOOKUP($B41,'110 сб '!$C$17:$I$87,5,FALSE)</f>
        <v>#N/A</v>
      </c>
      <c r="G41" s="369" t="e">
        <f>VLOOKUP($B41,высота!$C$17:$AF$42,29,FALSE)</f>
        <v>#N/A</v>
      </c>
      <c r="H41" s="369" t="e">
        <f>VLOOKUP($B41,ядро!$C$17:$K$43,8,FALSE)</f>
        <v>#N/A</v>
      </c>
      <c r="I41" s="369">
        <f>VLOOKUP($B41,'2_р'!$C$17:$I$68,5,FALSE)</f>
        <v>26.2</v>
      </c>
      <c r="J41" s="369">
        <f>VLOOKUP($B41,Дл_р!$C$17:$O$43,11,FALSE)</f>
        <v>5.61</v>
      </c>
      <c r="K41" s="369">
        <f>VLOOKUP($B41,К_р!$C$18:$K$31,8,FALSE)</f>
        <v>39.369999999999997</v>
      </c>
      <c r="L41" s="370" t="str">
        <f>VLOOKUP($B41,'8_р'!$C$17:$H$77,5,FALSE)</f>
        <v>2:25.05</v>
      </c>
      <c r="M41" s="383" t="e">
        <f>SUM(F43:L43)</f>
        <v>#N/A</v>
      </c>
      <c r="N41" s="331" t="e">
        <f>LOOKUP(M41,R$1:AA$1,R$2:AA$2)</f>
        <v>#N/A</v>
      </c>
      <c r="O41" s="399" t="e">
        <f>AC41+AD41+5</f>
        <v>#N/A</v>
      </c>
      <c r="P41" s="86">
        <f>B41</f>
        <v>27</v>
      </c>
      <c r="Q41" s="131">
        <f>$A41</f>
        <v>6</v>
      </c>
      <c r="R41" s="131">
        <v>1</v>
      </c>
      <c r="S41" s="131">
        <f>$A41</f>
        <v>6</v>
      </c>
      <c r="T41" s="236"/>
      <c r="U41" s="236"/>
      <c r="V41" s="236"/>
      <c r="W41" s="236"/>
      <c r="X41" s="236"/>
      <c r="Y41" s="236"/>
      <c r="Z41" s="236"/>
      <c r="AC41" s="131" t="e">
        <f>IF(AND(Q41&gt;16,M41&gt;=4600),"1",LOOKUP(Q41,Q$5:AH$5,Q$6:AH$6))</f>
        <v>#N/A</v>
      </c>
      <c r="AD41" s="131" t="e">
        <f>LOOKUP(N41,R$8:W$8,R$9:W$9)</f>
        <v>#N/A</v>
      </c>
    </row>
    <row r="42" spans="1:30" s="123" customFormat="1" x14ac:dyDescent="0.35">
      <c r="A42" s="376"/>
      <c r="B42" s="331"/>
      <c r="C42" s="378" t="e">
        <f>VLOOKUP(B41,Уч!$A$2:$L$16,5,FALSE)</f>
        <v>#N/A</v>
      </c>
      <c r="D42" s="333" t="e">
        <f>VLOOKUP(B41,Уч!$A$2:$L$16,4,FALSE)</f>
        <v>#N/A</v>
      </c>
      <c r="E42" s="285" t="s">
        <v>25</v>
      </c>
      <c r="F42" s="371" t="e">
        <f>VLOOKUP($B41,'110 сб '!$C$17:$I$87,6,FALSE)</f>
        <v>#N/A</v>
      </c>
      <c r="G42" s="369"/>
      <c r="H42" s="369"/>
      <c r="I42" s="371">
        <f>VLOOKUP($B41,'2_р'!$C$17:$I$68,6,FALSE)</f>
        <v>1.2</v>
      </c>
      <c r="J42" s="371">
        <f>VLOOKUP($B41,Дл_р!$C$17:$O$43,12,FALSE)</f>
        <v>0</v>
      </c>
      <c r="K42" s="369"/>
      <c r="L42" s="370"/>
      <c r="M42" s="383"/>
      <c r="N42" s="331"/>
      <c r="O42" s="399" t="e">
        <f>CONCATENATE(AC41,"+",AD41,"+",5)</f>
        <v>#N/A</v>
      </c>
      <c r="P42" s="86">
        <f>B41</f>
        <v>27</v>
      </c>
      <c r="Q42" s="131">
        <f>$A41</f>
        <v>6</v>
      </c>
      <c r="R42" s="131">
        <v>2</v>
      </c>
      <c r="S42" s="131">
        <f>$A41</f>
        <v>6</v>
      </c>
      <c r="T42" s="236"/>
      <c r="U42" s="236"/>
      <c r="V42" s="236"/>
      <c r="W42" s="236"/>
      <c r="X42" s="236"/>
      <c r="Y42" s="236"/>
      <c r="Z42" s="236"/>
      <c r="AC42" s="131"/>
      <c r="AD42" s="131"/>
    </row>
    <row r="43" spans="1:30" s="123" customFormat="1" x14ac:dyDescent="0.35">
      <c r="A43" s="376"/>
      <c r="B43" s="331"/>
      <c r="C43" s="379" t="e">
        <f>VLOOKUP(B41,Уч!$A$2:$L$16,7,FALSE)</f>
        <v>#N/A</v>
      </c>
      <c r="D43" s="372"/>
      <c r="E43" s="285" t="s">
        <v>29</v>
      </c>
      <c r="F43" s="370" t="e">
        <f>VLOOKUP($B41,'110 сб '!$C$17:$I$87,7,FALSE)</f>
        <v>#N/A</v>
      </c>
      <c r="G43" s="370" t="e">
        <f>VLOOKUP($B41,высота!$C$17:$AF$42,30,FALSE)</f>
        <v>#N/A</v>
      </c>
      <c r="H43" s="370" t="e">
        <f>VLOOKUP($B41,ядро!$C$17:$K$43,9,FALSE)</f>
        <v>#N/A</v>
      </c>
      <c r="I43" s="370">
        <f>VLOOKUP($B41,'2_р'!$C$17:$I$68,7,FALSE)</f>
        <v>780</v>
      </c>
      <c r="J43" s="370">
        <f>VLOOKUP($B41,Дл_р!$C$17:$O$43,13,FALSE)</f>
        <v>732</v>
      </c>
      <c r="K43" s="370">
        <f>VLOOKUP($B41,К_р!$C$18:$K$31,9,FALSE)</f>
        <v>655</v>
      </c>
      <c r="L43" s="370">
        <f>VLOOKUP($B41,'8_р'!$C$17:$H$77,6,FALSE)</f>
        <v>756</v>
      </c>
      <c r="M43" s="383"/>
      <c r="N43" s="294"/>
      <c r="O43" s="383"/>
      <c r="P43" s="243">
        <f>B41</f>
        <v>27</v>
      </c>
      <c r="Q43" s="131">
        <f>$A41</f>
        <v>6</v>
      </c>
      <c r="R43" s="131">
        <v>3</v>
      </c>
      <c r="S43" s="131">
        <f>$A41</f>
        <v>6</v>
      </c>
      <c r="T43" s="236"/>
      <c r="U43" s="236"/>
      <c r="V43" s="236"/>
      <c r="W43" s="236"/>
      <c r="X43" s="236"/>
      <c r="Y43" s="236"/>
      <c r="Z43" s="236"/>
      <c r="AC43" s="131"/>
      <c r="AD43" s="131"/>
    </row>
    <row r="44" spans="1:30" s="123" customFormat="1" x14ac:dyDescent="0.35">
      <c r="A44" s="376"/>
      <c r="B44" s="331"/>
      <c r="C44" s="379" t="e">
        <f>VLOOKUP(B41,Уч!$A$2:$L$16,11,FALSE)</f>
        <v>#N/A</v>
      </c>
      <c r="D44" s="373"/>
      <c r="E44" s="285" t="s">
        <v>125</v>
      </c>
      <c r="F44" s="370" t="e">
        <f>F43</f>
        <v>#N/A</v>
      </c>
      <c r="G44" s="370" t="e">
        <f t="shared" ref="G44:L44" si="10">F44+G43</f>
        <v>#N/A</v>
      </c>
      <c r="H44" s="370" t="e">
        <f t="shared" si="10"/>
        <v>#N/A</v>
      </c>
      <c r="I44" s="370" t="e">
        <f t="shared" si="10"/>
        <v>#N/A</v>
      </c>
      <c r="J44" s="370" t="e">
        <f t="shared" si="10"/>
        <v>#N/A</v>
      </c>
      <c r="K44" s="370" t="e">
        <f t="shared" si="10"/>
        <v>#N/A</v>
      </c>
      <c r="L44" s="370" t="e">
        <f t="shared" si="10"/>
        <v>#N/A</v>
      </c>
      <c r="M44" s="383"/>
      <c r="N44" s="294"/>
      <c r="O44" s="383"/>
      <c r="P44" s="243">
        <f>B41</f>
        <v>27</v>
      </c>
      <c r="Q44" s="131">
        <f>$A41</f>
        <v>6</v>
      </c>
      <c r="R44" s="131">
        <v>4</v>
      </c>
      <c r="S44" s="131">
        <f>$A41</f>
        <v>6</v>
      </c>
      <c r="T44" s="152" t="e">
        <f t="shared" ref="T44:Z44" si="11">F44</f>
        <v>#N/A</v>
      </c>
      <c r="U44" s="152" t="e">
        <f t="shared" si="11"/>
        <v>#N/A</v>
      </c>
      <c r="V44" s="152" t="e">
        <f t="shared" si="11"/>
        <v>#N/A</v>
      </c>
      <c r="W44" s="152" t="e">
        <f t="shared" si="11"/>
        <v>#N/A</v>
      </c>
      <c r="X44" s="152" t="e">
        <f t="shared" si="11"/>
        <v>#N/A</v>
      </c>
      <c r="Y44" s="152" t="e">
        <f t="shared" si="11"/>
        <v>#N/A</v>
      </c>
      <c r="Z44" s="152" t="e">
        <f t="shared" si="11"/>
        <v>#N/A</v>
      </c>
      <c r="AC44" s="131"/>
      <c r="AD44" s="131"/>
    </row>
    <row r="45" spans="1:30" s="123" customFormat="1" x14ac:dyDescent="0.35">
      <c r="A45" s="324"/>
      <c r="B45" s="385"/>
      <c r="C45" s="325"/>
      <c r="D45" s="386"/>
      <c r="E45" s="381" t="s">
        <v>60</v>
      </c>
      <c r="F45" s="387" t="e">
        <f>RANK(F44,$T$19:$T$90,0)</f>
        <v>#N/A</v>
      </c>
      <c r="G45" s="387" t="e">
        <f>RANK(G44,$U$19:$U$80,0)</f>
        <v>#N/A</v>
      </c>
      <c r="H45" s="387" t="e">
        <f>RANK(H44,$V$19:$V$80,0)</f>
        <v>#N/A</v>
      </c>
      <c r="I45" s="387" t="e">
        <f>RANK(I44,$W$19:$W$79,0)</f>
        <v>#N/A</v>
      </c>
      <c r="J45" s="387" t="e">
        <f>RANK(J44,$X$19:$X$79,0)</f>
        <v>#N/A</v>
      </c>
      <c r="K45" s="387" t="e">
        <f>RANK(K44,$Y$19:$Y$85,0)</f>
        <v>#N/A</v>
      </c>
      <c r="L45" s="387" t="e">
        <f>RANK(L44,$Z$19:$Z$85,0)</f>
        <v>#N/A</v>
      </c>
      <c r="M45" s="384"/>
      <c r="N45" s="388"/>
      <c r="O45" s="384"/>
      <c r="P45" s="243">
        <f>B41</f>
        <v>27</v>
      </c>
      <c r="Q45" s="131">
        <f>$A41</f>
        <v>6</v>
      </c>
      <c r="R45" s="131">
        <v>5</v>
      </c>
      <c r="S45" s="131">
        <f>$A41</f>
        <v>6</v>
      </c>
      <c r="T45" s="236"/>
      <c r="U45" s="236"/>
      <c r="V45" s="236"/>
      <c r="W45" s="236"/>
      <c r="X45" s="236"/>
      <c r="Y45" s="236"/>
      <c r="Z45" s="236"/>
      <c r="AC45" s="131"/>
      <c r="AD45" s="131"/>
    </row>
    <row r="46" spans="1:30" s="123" customFormat="1" x14ac:dyDescent="0.35">
      <c r="A46" s="376">
        <v>7</v>
      </c>
      <c r="B46" s="331">
        <v>87</v>
      </c>
      <c r="C46" s="378" t="e">
        <f>VLOOKUP(B46,Уч!$A$2:$L$16,2,FALSE)</f>
        <v>#N/A</v>
      </c>
      <c r="D46" s="333" t="e">
        <f>VLOOKUP(B46,Уч!$A$2:$L$16,3,FALSE)</f>
        <v>#N/A</v>
      </c>
      <c r="E46" s="285" t="s">
        <v>18</v>
      </c>
      <c r="F46" s="369" t="e">
        <f>VLOOKUP($B46,'110 сб '!$C$17:$I$87,5,FALSE)</f>
        <v>#N/A</v>
      </c>
      <c r="G46" s="369" t="e">
        <f>VLOOKUP($B46,высота!$C$17:$AF$42,29,FALSE)</f>
        <v>#N/A</v>
      </c>
      <c r="H46" s="369" t="e">
        <f>VLOOKUP($B46,ядро!$C$17:$K$43,8,FALSE)</f>
        <v>#N/A</v>
      </c>
      <c r="I46" s="369">
        <f>VLOOKUP($B46,'2_р'!$C$17:$I$68,5,FALSE)</f>
        <v>26.04</v>
      </c>
      <c r="J46" s="369">
        <f>VLOOKUP($B46,Дл_р!$C$17:$O$43,11,FALSE)</f>
        <v>5.88</v>
      </c>
      <c r="K46" s="369">
        <f>VLOOKUP($B46,К_р!$C$18:$K$31,8,FALSE)</f>
        <v>34.119999999999997</v>
      </c>
      <c r="L46" s="370" t="str">
        <f>VLOOKUP($B46,'8_р'!$C$17:$H$77,5,FALSE)</f>
        <v>2:22.10</v>
      </c>
      <c r="M46" s="383" t="e">
        <f>SUM(F48:L48)</f>
        <v>#N/A</v>
      </c>
      <c r="N46" s="331" t="e">
        <f>LOOKUP(M46,R$1:AA$1,R$2:AA$2)</f>
        <v>#N/A</v>
      </c>
      <c r="O46" s="399" t="e">
        <f>AC46+AD46+5</f>
        <v>#N/A</v>
      </c>
      <c r="P46" s="86">
        <f>B46</f>
        <v>87</v>
      </c>
      <c r="Q46" s="131">
        <f>$A46</f>
        <v>7</v>
      </c>
      <c r="R46" s="131">
        <v>1</v>
      </c>
      <c r="S46" s="131">
        <f>$A46</f>
        <v>7</v>
      </c>
      <c r="T46" s="236"/>
      <c r="U46" s="236"/>
      <c r="V46" s="236"/>
      <c r="W46" s="236"/>
      <c r="X46" s="236"/>
      <c r="Y46" s="236"/>
      <c r="Z46" s="236"/>
      <c r="AC46" s="131" t="e">
        <f>IF(AND(Q46&gt;16,M46&gt;=4600),"1",LOOKUP(Q46,Q$5:AH$5,Q$6:AH$6))</f>
        <v>#N/A</v>
      </c>
      <c r="AD46" s="131" t="e">
        <f>LOOKUP(N46,R$8:W$8,R$9:W$9)</f>
        <v>#N/A</v>
      </c>
    </row>
    <row r="47" spans="1:30" s="123" customFormat="1" x14ac:dyDescent="0.35">
      <c r="A47" s="376"/>
      <c r="B47" s="331"/>
      <c r="C47" s="378" t="e">
        <f>VLOOKUP(B46,Уч!$A$2:$L$16,5,FALSE)</f>
        <v>#N/A</v>
      </c>
      <c r="D47" s="333" t="e">
        <f>VLOOKUP(B46,Уч!$A$2:$L$16,4,FALSE)</f>
        <v>#N/A</v>
      </c>
      <c r="E47" s="285" t="s">
        <v>25</v>
      </c>
      <c r="F47" s="371" t="e">
        <f>VLOOKUP($B46,'110 сб '!$C$17:$I$87,6,FALSE)</f>
        <v>#N/A</v>
      </c>
      <c r="G47" s="369"/>
      <c r="H47" s="369"/>
      <c r="I47" s="371">
        <f>VLOOKUP($B46,'2_р'!$C$17:$I$68,6,FALSE)</f>
        <v>1.2</v>
      </c>
      <c r="J47" s="371">
        <f>VLOOKUP($B46,Дл_р!$C$17:$O$43,12,FALSE)</f>
        <v>0.1</v>
      </c>
      <c r="K47" s="369"/>
      <c r="L47" s="370"/>
      <c r="M47" s="383"/>
      <c r="N47" s="331"/>
      <c r="O47" s="399" t="e">
        <f>CONCATENATE(AC46,"+",AD46,"+",5)</f>
        <v>#N/A</v>
      </c>
      <c r="P47" s="86">
        <f>B46</f>
        <v>87</v>
      </c>
      <c r="Q47" s="131">
        <f>$A46</f>
        <v>7</v>
      </c>
      <c r="R47" s="131">
        <v>2</v>
      </c>
      <c r="S47" s="131">
        <f>$A46</f>
        <v>7</v>
      </c>
      <c r="T47" s="236"/>
      <c r="U47" s="236"/>
      <c r="V47" s="236"/>
      <c r="W47" s="236"/>
      <c r="X47" s="236"/>
      <c r="Y47" s="236"/>
      <c r="Z47" s="236"/>
      <c r="AC47" s="131"/>
      <c r="AD47" s="131"/>
    </row>
    <row r="48" spans="1:30" s="123" customFormat="1" x14ac:dyDescent="0.35">
      <c r="A48" s="376"/>
      <c r="B48" s="331"/>
      <c r="C48" s="379" t="e">
        <f>VLOOKUP(B46,Уч!$A$2:$L$16,7,FALSE)</f>
        <v>#N/A</v>
      </c>
      <c r="D48" s="372"/>
      <c r="E48" s="285" t="s">
        <v>29</v>
      </c>
      <c r="F48" s="370" t="e">
        <f>VLOOKUP($B46,'110 сб '!$C$17:$I$87,7,FALSE)</f>
        <v>#N/A</v>
      </c>
      <c r="G48" s="370" t="e">
        <f>VLOOKUP($B46,высота!$C$17:$AF$42,30,FALSE)</f>
        <v>#N/A</v>
      </c>
      <c r="H48" s="370" t="e">
        <f>VLOOKUP($B46,ядро!$C$17:$K$43,9,FALSE)</f>
        <v>#N/A</v>
      </c>
      <c r="I48" s="370">
        <f>VLOOKUP($B46,'2_р'!$C$17:$I$68,7,FALSE)</f>
        <v>794</v>
      </c>
      <c r="J48" s="370">
        <f>VLOOKUP($B46,Дл_р!$C$17:$O$43,13,FALSE)</f>
        <v>813</v>
      </c>
      <c r="K48" s="370">
        <f>VLOOKUP($B46,К_р!$C$18:$K$31,9,FALSE)</f>
        <v>555</v>
      </c>
      <c r="L48" s="370">
        <f>VLOOKUP($B46,'8_р'!$C$17:$H$77,6,FALSE)</f>
        <v>795</v>
      </c>
      <c r="M48" s="383"/>
      <c r="N48" s="294"/>
      <c r="O48" s="400"/>
      <c r="P48" s="243">
        <f>B46</f>
        <v>87</v>
      </c>
      <c r="Q48" s="131">
        <f>$A46</f>
        <v>7</v>
      </c>
      <c r="R48" s="131">
        <v>3</v>
      </c>
      <c r="S48" s="131">
        <f>$A46</f>
        <v>7</v>
      </c>
      <c r="T48" s="236"/>
      <c r="U48" s="236"/>
      <c r="V48" s="236"/>
      <c r="W48" s="236"/>
      <c r="X48" s="236"/>
      <c r="Y48" s="236"/>
      <c r="Z48" s="236"/>
      <c r="AB48" s="86"/>
      <c r="AC48" s="131"/>
      <c r="AD48" s="131"/>
    </row>
    <row r="49" spans="1:49" s="123" customFormat="1" x14ac:dyDescent="0.35">
      <c r="A49" s="376"/>
      <c r="B49" s="331"/>
      <c r="C49" s="379" t="e">
        <f>VLOOKUP(B46,Уч!$A$2:$L$16,11,FALSE)</f>
        <v>#N/A</v>
      </c>
      <c r="D49" s="373"/>
      <c r="E49" s="285" t="s">
        <v>125</v>
      </c>
      <c r="F49" s="370" t="e">
        <f>F48</f>
        <v>#N/A</v>
      </c>
      <c r="G49" s="370" t="e">
        <f t="shared" ref="G49:L49" si="12">F49+G48</f>
        <v>#N/A</v>
      </c>
      <c r="H49" s="370" t="e">
        <f t="shared" si="12"/>
        <v>#N/A</v>
      </c>
      <c r="I49" s="370" t="e">
        <f t="shared" si="12"/>
        <v>#N/A</v>
      </c>
      <c r="J49" s="370" t="e">
        <f t="shared" si="12"/>
        <v>#N/A</v>
      </c>
      <c r="K49" s="370" t="e">
        <f t="shared" si="12"/>
        <v>#N/A</v>
      </c>
      <c r="L49" s="370" t="e">
        <f t="shared" si="12"/>
        <v>#N/A</v>
      </c>
      <c r="M49" s="383"/>
      <c r="N49" s="294"/>
      <c r="O49" s="383"/>
      <c r="P49" s="243">
        <f>B46</f>
        <v>87</v>
      </c>
      <c r="Q49" s="131">
        <f>$A46</f>
        <v>7</v>
      </c>
      <c r="R49" s="131">
        <v>4</v>
      </c>
      <c r="S49" s="131">
        <f>$A46</f>
        <v>7</v>
      </c>
      <c r="T49" s="152" t="e">
        <f t="shared" ref="T49:Z49" si="13">F49</f>
        <v>#N/A</v>
      </c>
      <c r="U49" s="152" t="e">
        <f t="shared" si="13"/>
        <v>#N/A</v>
      </c>
      <c r="V49" s="152" t="e">
        <f t="shared" si="13"/>
        <v>#N/A</v>
      </c>
      <c r="W49" s="152" t="e">
        <f t="shared" si="13"/>
        <v>#N/A</v>
      </c>
      <c r="X49" s="152" t="e">
        <f t="shared" si="13"/>
        <v>#N/A</v>
      </c>
      <c r="Y49" s="152" t="e">
        <f t="shared" si="13"/>
        <v>#N/A</v>
      </c>
      <c r="Z49" s="152" t="e">
        <f t="shared" si="13"/>
        <v>#N/A</v>
      </c>
      <c r="AB49" s="86"/>
      <c r="AC49" s="131"/>
      <c r="AD49" s="131"/>
    </row>
    <row r="50" spans="1:49" s="123" customFormat="1" x14ac:dyDescent="0.35">
      <c r="A50" s="324"/>
      <c r="B50" s="385"/>
      <c r="C50" s="325"/>
      <c r="D50" s="386"/>
      <c r="E50" s="381" t="s">
        <v>60</v>
      </c>
      <c r="F50" s="387" t="e">
        <f>RANK(F49,$T$19:$T$90,0)</f>
        <v>#N/A</v>
      </c>
      <c r="G50" s="387" t="e">
        <f>RANK(G49,$U$19:$U$80,0)</f>
        <v>#N/A</v>
      </c>
      <c r="H50" s="387" t="e">
        <f>RANK(H49,$V$19:$V$80,0)</f>
        <v>#N/A</v>
      </c>
      <c r="I50" s="387" t="e">
        <f>RANK(I49,$W$19:$W$79,0)</f>
        <v>#N/A</v>
      </c>
      <c r="J50" s="387" t="e">
        <f>RANK(J49,$X$19:$X$79,0)</f>
        <v>#N/A</v>
      </c>
      <c r="K50" s="387" t="e">
        <f>RANK(K49,$Y$19:$Y$85,0)</f>
        <v>#N/A</v>
      </c>
      <c r="L50" s="387" t="e">
        <f>RANK(L49,$Z$19:$Z$85,0)</f>
        <v>#N/A</v>
      </c>
      <c r="M50" s="384"/>
      <c r="N50" s="388"/>
      <c r="O50" s="384"/>
      <c r="P50" s="243">
        <f>B46</f>
        <v>87</v>
      </c>
      <c r="Q50" s="131">
        <f>$A46</f>
        <v>7</v>
      </c>
      <c r="R50" s="131">
        <v>5</v>
      </c>
      <c r="S50" s="131">
        <f>$A46</f>
        <v>7</v>
      </c>
      <c r="T50" s="236"/>
      <c r="U50" s="236"/>
      <c r="V50" s="236"/>
      <c r="W50" s="236"/>
      <c r="X50" s="236"/>
      <c r="Y50" s="236"/>
      <c r="Z50" s="236"/>
      <c r="AB50" s="86"/>
      <c r="AC50" s="131"/>
      <c r="AD50" s="131"/>
    </row>
    <row r="51" spans="1:49" s="123" customFormat="1" x14ac:dyDescent="0.35">
      <c r="A51" s="376">
        <v>8</v>
      </c>
      <c r="B51" s="331">
        <v>64</v>
      </c>
      <c r="C51" s="378" t="str">
        <f>VLOOKUP(B51,Уч!$A$2:$L$16,2,FALSE)</f>
        <v>Дерган Евгения</v>
      </c>
      <c r="D51" s="333" t="str">
        <f>VLOOKUP(B51,Уч!$A$2:$L$16,3,FALSE)</f>
        <v>11.04.1994</v>
      </c>
      <c r="E51" s="285" t="s">
        <v>18</v>
      </c>
      <c r="F51" s="369">
        <f>VLOOKUP($B51,'110 сб '!$C$17:$I$87,5,FALSE)</f>
        <v>15.87</v>
      </c>
      <c r="G51" s="369">
        <f>VLOOKUP($B51,высота!$C$17:$AF$42,29,FALSE)</f>
        <v>1.86</v>
      </c>
      <c r="H51" s="369">
        <f>VLOOKUP($B51,ядро!$C$17:$K$43,8,FALSE)</f>
        <v>14.48</v>
      </c>
      <c r="I51" s="369">
        <f>VLOOKUP($B51,'2_р'!$C$17:$I$68,5,FALSE)</f>
        <v>26.81</v>
      </c>
      <c r="J51" s="369">
        <f>VLOOKUP($B51,Дл_р!$C$17:$O$43,11,FALSE)</f>
        <v>5.3</v>
      </c>
      <c r="K51" s="369">
        <f>VLOOKUP($B51,К_р!$C$18:$K$31,8,FALSE)</f>
        <v>38.68</v>
      </c>
      <c r="L51" s="370" t="str">
        <f>VLOOKUP($B51,'8_р'!$C$17:$H$77,5,FALSE)</f>
        <v>2:32.13</v>
      </c>
      <c r="M51" s="383">
        <f>SUM(F53:L53)</f>
        <v>4235</v>
      </c>
      <c r="N51" s="331">
        <f>LOOKUP(M51,R$1:AA$1,R$2:AA$2)</f>
        <v>1</v>
      </c>
      <c r="O51" s="376">
        <f>AC51+AD51+5</f>
        <v>19</v>
      </c>
      <c r="P51" s="86">
        <f>B51</f>
        <v>64</v>
      </c>
      <c r="Q51" s="131">
        <f>$A51</f>
        <v>8</v>
      </c>
      <c r="R51" s="131">
        <v>1</v>
      </c>
      <c r="S51" s="131">
        <f>$A51</f>
        <v>8</v>
      </c>
      <c r="T51" s="236"/>
      <c r="U51" s="236"/>
      <c r="V51" s="236"/>
      <c r="W51" s="236"/>
      <c r="X51" s="236"/>
      <c r="Y51" s="236"/>
      <c r="Z51" s="236"/>
      <c r="AA51" s="131"/>
      <c r="AB51" s="131"/>
      <c r="AC51" s="131">
        <v>14</v>
      </c>
      <c r="AD51" s="131">
        <f>LOOKUP(N51,R$8:W$8,R$9:W$9)</f>
        <v>0</v>
      </c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1"/>
    </row>
    <row r="52" spans="1:49" s="123" customFormat="1" x14ac:dyDescent="0.35">
      <c r="A52" s="376"/>
      <c r="B52" s="331"/>
      <c r="C52" s="378" t="str">
        <f>VLOOKUP(B51,Уч!$A$2:$L$16,5,FALSE)</f>
        <v xml:space="preserve">Республика Адыгея  </v>
      </c>
      <c r="D52" s="333" t="str">
        <f>VLOOKUP(B51,Уч!$A$2:$L$16,4,FALSE)</f>
        <v>КМС</v>
      </c>
      <c r="E52" s="285" t="s">
        <v>25</v>
      </c>
      <c r="F52" s="371">
        <f>VLOOKUP($B51,'110 сб '!$C$17:$I$87,6,FALSE)</f>
        <v>1.2</v>
      </c>
      <c r="G52" s="369"/>
      <c r="H52" s="369"/>
      <c r="I52" s="371">
        <f>VLOOKUP($B51,'2_р'!$C$17:$I$68,6,FALSE)</f>
        <v>1.2</v>
      </c>
      <c r="J52" s="371">
        <f>VLOOKUP($B51,Дл_р!$C$17:$O$43,12,FALSE)</f>
        <v>-0.1</v>
      </c>
      <c r="K52" s="369"/>
      <c r="L52" s="370"/>
      <c r="M52" s="383"/>
      <c r="N52" s="331"/>
      <c r="O52" s="376" t="str">
        <f>CONCATENATE(AC51,"+",AD51,"+",5)</f>
        <v>14+0+5</v>
      </c>
      <c r="P52" s="86">
        <f>B51</f>
        <v>64</v>
      </c>
      <c r="Q52" s="131">
        <f>$A51</f>
        <v>8</v>
      </c>
      <c r="R52" s="131">
        <v>2</v>
      </c>
      <c r="S52" s="131">
        <f>$A51</f>
        <v>8</v>
      </c>
      <c r="T52" s="236"/>
      <c r="U52" s="236"/>
      <c r="V52" s="236"/>
      <c r="W52" s="236"/>
      <c r="X52" s="236"/>
      <c r="Y52" s="236"/>
      <c r="Z52" s="236"/>
      <c r="AA52" s="88"/>
      <c r="AB52" s="244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1"/>
    </row>
    <row r="53" spans="1:49" s="123" customFormat="1" x14ac:dyDescent="0.35">
      <c r="A53" s="376"/>
      <c r="B53" s="331"/>
      <c r="C53" s="379" t="str">
        <f>VLOOKUP(B51,Уч!$A$2:$L$16,7,FALSE)</f>
        <v>ГБУ РА "ЦСП СК РА"</v>
      </c>
      <c r="D53" s="372"/>
      <c r="E53" s="285" t="s">
        <v>29</v>
      </c>
      <c r="F53" s="370">
        <f>VLOOKUP($B51,'110 сб '!$C$17:$I$87,7,FALSE)</f>
        <v>730</v>
      </c>
      <c r="G53" s="370">
        <f>VLOOKUP($B51,высота!$C$17:$AF$42,30,FALSE)</f>
        <v>0</v>
      </c>
      <c r="H53" s="370">
        <f>VLOOKUP($B51,ядро!$C$17:$K$43,9,FALSE)</f>
        <v>826</v>
      </c>
      <c r="I53" s="370">
        <f>VLOOKUP($B51,'2_р'!$C$17:$I$68,7,FALSE)</f>
        <v>728</v>
      </c>
      <c r="J53" s="370">
        <f>VLOOKUP($B51,Дл_р!$C$17:$O$43,13,FALSE)</f>
        <v>643</v>
      </c>
      <c r="K53" s="370">
        <f>VLOOKUP($B51,К_р!$C$18:$K$31,9,FALSE)</f>
        <v>642</v>
      </c>
      <c r="L53" s="370">
        <f>VLOOKUP($B51,'8_р'!$C$17:$H$77,6,FALSE)</f>
        <v>666</v>
      </c>
      <c r="M53" s="383"/>
      <c r="N53" s="294"/>
      <c r="O53" s="383"/>
      <c r="P53" s="243">
        <f>B51</f>
        <v>64</v>
      </c>
      <c r="Q53" s="131">
        <f>$A51</f>
        <v>8</v>
      </c>
      <c r="R53" s="131">
        <v>3</v>
      </c>
      <c r="S53" s="131">
        <f>$A51</f>
        <v>8</v>
      </c>
      <c r="T53" s="236"/>
      <c r="U53" s="236"/>
      <c r="V53" s="236"/>
      <c r="W53" s="236"/>
      <c r="X53" s="236"/>
      <c r="Y53" s="236"/>
      <c r="Z53" s="236"/>
      <c r="AC53" s="131"/>
      <c r="AD53" s="131"/>
    </row>
    <row r="54" spans="1:49" s="123" customFormat="1" x14ac:dyDescent="0.35">
      <c r="A54" s="376"/>
      <c r="B54" s="331"/>
      <c r="C54" s="379" t="str">
        <f>VLOOKUP(B51,Уч!$A$2:$L$16,11,FALSE)</f>
        <v>Суханов С.М., Парфёнова С.О.</v>
      </c>
      <c r="D54" s="373"/>
      <c r="E54" s="285" t="s">
        <v>125</v>
      </c>
      <c r="F54" s="370">
        <f>F53</f>
        <v>730</v>
      </c>
      <c r="G54" s="370">
        <f t="shared" ref="G54:L54" si="14">F54+G53</f>
        <v>730</v>
      </c>
      <c r="H54" s="370">
        <f t="shared" si="14"/>
        <v>1556</v>
      </c>
      <c r="I54" s="370">
        <f t="shared" si="14"/>
        <v>2284</v>
      </c>
      <c r="J54" s="370">
        <f t="shared" si="14"/>
        <v>2927</v>
      </c>
      <c r="K54" s="370">
        <f t="shared" si="14"/>
        <v>3569</v>
      </c>
      <c r="L54" s="370">
        <f t="shared" si="14"/>
        <v>4235</v>
      </c>
      <c r="M54" s="383"/>
      <c r="N54" s="294"/>
      <c r="O54" s="383"/>
      <c r="P54" s="243">
        <f>B51</f>
        <v>64</v>
      </c>
      <c r="Q54" s="131">
        <f>$A51</f>
        <v>8</v>
      </c>
      <c r="R54" s="131">
        <v>4</v>
      </c>
      <c r="S54" s="131">
        <f>$A51</f>
        <v>8</v>
      </c>
      <c r="T54" s="152">
        <f t="shared" ref="T54:Z54" si="15">F54</f>
        <v>730</v>
      </c>
      <c r="U54" s="152">
        <f t="shared" si="15"/>
        <v>730</v>
      </c>
      <c r="V54" s="152">
        <f t="shared" si="15"/>
        <v>1556</v>
      </c>
      <c r="W54" s="152">
        <f t="shared" si="15"/>
        <v>2284</v>
      </c>
      <c r="X54" s="152">
        <f t="shared" si="15"/>
        <v>2927</v>
      </c>
      <c r="Y54" s="152">
        <f t="shared" si="15"/>
        <v>3569</v>
      </c>
      <c r="Z54" s="152">
        <f t="shared" si="15"/>
        <v>4235</v>
      </c>
      <c r="AC54" s="131"/>
      <c r="AD54" s="131"/>
    </row>
    <row r="55" spans="1:49" s="123" customFormat="1" x14ac:dyDescent="0.35">
      <c r="A55" s="324"/>
      <c r="B55" s="385"/>
      <c r="C55" s="325"/>
      <c r="D55" s="386"/>
      <c r="E55" s="381" t="s">
        <v>60</v>
      </c>
      <c r="F55" s="387" t="e">
        <f>RANK(F54,$T$19:$T$90,0)</f>
        <v>#N/A</v>
      </c>
      <c r="G55" s="387" t="e">
        <f>RANK(G54,$U$19:$U$80,0)</f>
        <v>#N/A</v>
      </c>
      <c r="H55" s="387" t="e">
        <f>RANK(H54,$V$19:$V$80,0)</f>
        <v>#N/A</v>
      </c>
      <c r="I55" s="387" t="e">
        <f>RANK(I54,$W$19:$W$79,0)</f>
        <v>#N/A</v>
      </c>
      <c r="J55" s="387" t="e">
        <f>RANK(J54,$X$19:$X$79,0)</f>
        <v>#N/A</v>
      </c>
      <c r="K55" s="387" t="e">
        <f>RANK(K54,$Y$19:$Y$85,0)</f>
        <v>#N/A</v>
      </c>
      <c r="L55" s="387" t="e">
        <f>RANK(L54,$Z$19:$Z$85,0)</f>
        <v>#N/A</v>
      </c>
      <c r="M55" s="384"/>
      <c r="N55" s="388"/>
      <c r="O55" s="384"/>
      <c r="P55" s="243">
        <f>B51</f>
        <v>64</v>
      </c>
      <c r="Q55" s="131">
        <f>$A51</f>
        <v>8</v>
      </c>
      <c r="R55" s="131">
        <v>5</v>
      </c>
      <c r="S55" s="131">
        <f>$A51</f>
        <v>8</v>
      </c>
      <c r="T55" s="236"/>
      <c r="U55" s="236"/>
      <c r="V55" s="236"/>
      <c r="W55" s="236"/>
      <c r="X55" s="236"/>
      <c r="Y55" s="236"/>
      <c r="Z55" s="236"/>
      <c r="AC55" s="131"/>
      <c r="AD55" s="131"/>
    </row>
    <row r="56" spans="1:49" s="123" customFormat="1" x14ac:dyDescent="0.35">
      <c r="A56" s="376">
        <v>9</v>
      </c>
      <c r="B56" s="331">
        <v>14</v>
      </c>
      <c r="C56" s="378" t="e">
        <f>VLOOKUP(B56,Уч!$A$2:$L$16,2,FALSE)</f>
        <v>#N/A</v>
      </c>
      <c r="D56" s="333" t="e">
        <f>VLOOKUP(B56,Уч!$A$2:$L$16,3,FALSE)</f>
        <v>#N/A</v>
      </c>
      <c r="E56" s="285" t="s">
        <v>18</v>
      </c>
      <c r="F56" s="369" t="e">
        <f>VLOOKUP($B56,'110 сб '!$C$17:$I$87,5,FALSE)</f>
        <v>#N/A</v>
      </c>
      <c r="G56" s="369" t="e">
        <f>VLOOKUP($B56,высота!$C$17:$AF$42,29,FALSE)</f>
        <v>#N/A</v>
      </c>
      <c r="H56" s="369" t="e">
        <f>VLOOKUP($B56,ядро!$C$17:$K$43,8,FALSE)</f>
        <v>#N/A</v>
      </c>
      <c r="I56" s="369">
        <f>VLOOKUP($B56,'2_р'!$C$17:$I$68,5,FALSE)</f>
        <v>27.44</v>
      </c>
      <c r="J56" s="369">
        <f>VLOOKUP($B56,Дл_р!$C$17:$O$43,11,FALSE)</f>
        <v>5.4</v>
      </c>
      <c r="K56" s="369">
        <f>VLOOKUP($B56,К_р!$C$18:$K$31,8,FALSE)</f>
        <v>31.55</v>
      </c>
      <c r="L56" s="370" t="str">
        <f>VLOOKUP($B56,'8_р'!$C$17:$H$77,5,FALSE)</f>
        <v>2:30.92</v>
      </c>
      <c r="M56" s="383" t="e">
        <f>SUM(F58:L58)</f>
        <v>#N/A</v>
      </c>
      <c r="N56" s="331" t="e">
        <f>LOOKUP(M56,R$1:AA$1,R$2:AA$2)</f>
        <v>#N/A</v>
      </c>
      <c r="O56" s="376" t="e">
        <f>AC56+AD56+5</f>
        <v>#N/A</v>
      </c>
      <c r="P56" s="86">
        <f>B56</f>
        <v>14</v>
      </c>
      <c r="Q56" s="131">
        <f>$A56</f>
        <v>9</v>
      </c>
      <c r="R56" s="131">
        <v>1</v>
      </c>
      <c r="S56" s="131">
        <f>$A56</f>
        <v>9</v>
      </c>
      <c r="T56" s="254"/>
      <c r="U56" s="254"/>
      <c r="V56" s="254"/>
      <c r="W56" s="254"/>
      <c r="X56" s="254"/>
      <c r="Y56" s="254"/>
      <c r="Z56" s="254"/>
      <c r="AA56" s="131"/>
      <c r="AC56" s="131">
        <v>13</v>
      </c>
      <c r="AD56" s="131" t="e">
        <f>LOOKUP(N56,R$8:W$8,R$9:W$9)</f>
        <v>#N/A</v>
      </c>
    </row>
    <row r="57" spans="1:49" s="123" customFormat="1" x14ac:dyDescent="0.35">
      <c r="A57" s="376"/>
      <c r="B57" s="331"/>
      <c r="C57" s="378" t="e">
        <f>VLOOKUP(B56,Уч!$A$2:$L$16,5,FALSE)</f>
        <v>#N/A</v>
      </c>
      <c r="D57" s="333" t="e">
        <f>VLOOKUP(B56,Уч!$A$2:$L$16,4,FALSE)</f>
        <v>#N/A</v>
      </c>
      <c r="E57" s="285" t="s">
        <v>25</v>
      </c>
      <c r="F57" s="371" t="e">
        <f>VLOOKUP($B56,'110 сб '!$C$17:$I$87,6,FALSE)</f>
        <v>#N/A</v>
      </c>
      <c r="G57" s="369"/>
      <c r="H57" s="369"/>
      <c r="I57" s="371">
        <f>VLOOKUP($B56,'2_р'!$C$17:$I$68,6,FALSE)</f>
        <v>1.2</v>
      </c>
      <c r="J57" s="371">
        <f>VLOOKUP($B56,Дл_р!$C$17:$O$43,12,FALSE)</f>
        <v>0.2</v>
      </c>
      <c r="K57" s="369"/>
      <c r="L57" s="370"/>
      <c r="M57" s="383"/>
      <c r="N57" s="331"/>
      <c r="O57" s="376" t="e">
        <f>CONCATENATE(AC56,"+",AD56,"+",5)</f>
        <v>#N/A</v>
      </c>
      <c r="P57" s="86">
        <f>B56</f>
        <v>14</v>
      </c>
      <c r="Q57" s="131">
        <f>$A56</f>
        <v>9</v>
      </c>
      <c r="R57" s="131">
        <v>2</v>
      </c>
      <c r="S57" s="131">
        <f>$A56</f>
        <v>9</v>
      </c>
      <c r="T57" s="254"/>
      <c r="U57" s="254"/>
      <c r="V57" s="254"/>
      <c r="W57" s="254"/>
      <c r="X57" s="254"/>
      <c r="Y57" s="254"/>
      <c r="Z57" s="254"/>
      <c r="AA57" s="131"/>
      <c r="AC57" s="131"/>
      <c r="AD57" s="131"/>
    </row>
    <row r="58" spans="1:49" s="123" customFormat="1" x14ac:dyDescent="0.35">
      <c r="A58" s="376"/>
      <c r="B58" s="331"/>
      <c r="C58" s="379" t="e">
        <f>VLOOKUP(B56,Уч!$A$2:$L$16,7,FALSE)</f>
        <v>#N/A</v>
      </c>
      <c r="D58" s="372"/>
      <c r="E58" s="285" t="s">
        <v>29</v>
      </c>
      <c r="F58" s="370" t="e">
        <f>VLOOKUP($B56,'110 сб '!$C$17:$I$87,7,FALSE)</f>
        <v>#N/A</v>
      </c>
      <c r="G58" s="370" t="e">
        <f>VLOOKUP($B56,высота!$C$17:$AF$42,30,FALSE)</f>
        <v>#N/A</v>
      </c>
      <c r="H58" s="370" t="e">
        <f>VLOOKUP($B56,ядро!$C$17:$K$43,9,FALSE)</f>
        <v>#N/A</v>
      </c>
      <c r="I58" s="370">
        <f>VLOOKUP($B56,'2_р'!$C$17:$I$68,7,FALSE)</f>
        <v>676</v>
      </c>
      <c r="J58" s="370">
        <f>VLOOKUP($B56,Дл_р!$C$17:$O$43,13,FALSE)</f>
        <v>671</v>
      </c>
      <c r="K58" s="370">
        <f>VLOOKUP($B56,К_р!$C$18:$K$31,9,FALSE)</f>
        <v>506</v>
      </c>
      <c r="L58" s="370">
        <f>VLOOKUP($B56,'8_р'!$C$17:$H$77,6,FALSE)</f>
        <v>681</v>
      </c>
      <c r="M58" s="383"/>
      <c r="N58" s="294"/>
      <c r="O58" s="383"/>
      <c r="P58" s="243">
        <f>B56</f>
        <v>14</v>
      </c>
      <c r="Q58" s="131">
        <f>$A56</f>
        <v>9</v>
      </c>
      <c r="R58" s="131">
        <v>3</v>
      </c>
      <c r="S58" s="131">
        <f>$A56</f>
        <v>9</v>
      </c>
      <c r="T58" s="254"/>
      <c r="U58" s="254"/>
      <c r="V58" s="254"/>
      <c r="W58" s="254"/>
      <c r="X58" s="254"/>
      <c r="Y58" s="254"/>
      <c r="Z58" s="254"/>
      <c r="AA58" s="131"/>
      <c r="AC58" s="131"/>
      <c r="AD58" s="131"/>
    </row>
    <row r="59" spans="1:49" s="123" customFormat="1" x14ac:dyDescent="0.35">
      <c r="A59" s="376"/>
      <c r="B59" s="331"/>
      <c r="C59" s="379" t="e">
        <f>VLOOKUP(B56,Уч!$A$2:$L$16,11,FALSE)</f>
        <v>#N/A</v>
      </c>
      <c r="D59" s="373"/>
      <c r="E59" s="285" t="s">
        <v>125</v>
      </c>
      <c r="F59" s="370" t="e">
        <f>F58</f>
        <v>#N/A</v>
      </c>
      <c r="G59" s="370" t="e">
        <f t="shared" ref="G59:L59" si="16">F59+G58</f>
        <v>#N/A</v>
      </c>
      <c r="H59" s="370" t="e">
        <f t="shared" si="16"/>
        <v>#N/A</v>
      </c>
      <c r="I59" s="370" t="e">
        <f t="shared" si="16"/>
        <v>#N/A</v>
      </c>
      <c r="J59" s="370" t="e">
        <f t="shared" si="16"/>
        <v>#N/A</v>
      </c>
      <c r="K59" s="370" t="e">
        <f t="shared" si="16"/>
        <v>#N/A</v>
      </c>
      <c r="L59" s="370" t="e">
        <f t="shared" si="16"/>
        <v>#N/A</v>
      </c>
      <c r="M59" s="383"/>
      <c r="N59" s="294"/>
      <c r="O59" s="383"/>
      <c r="P59" s="243">
        <f>B56</f>
        <v>14</v>
      </c>
      <c r="Q59" s="131">
        <f>$A56</f>
        <v>9</v>
      </c>
      <c r="R59" s="131">
        <v>4</v>
      </c>
      <c r="S59" s="131">
        <f>$A56</f>
        <v>9</v>
      </c>
      <c r="T59" s="152" t="e">
        <f t="shared" ref="T59:Z59" si="17">F59</f>
        <v>#N/A</v>
      </c>
      <c r="U59" s="152" t="e">
        <f t="shared" si="17"/>
        <v>#N/A</v>
      </c>
      <c r="V59" s="152" t="e">
        <f t="shared" si="17"/>
        <v>#N/A</v>
      </c>
      <c r="W59" s="152" t="e">
        <f t="shared" si="17"/>
        <v>#N/A</v>
      </c>
      <c r="X59" s="152" t="e">
        <f t="shared" si="17"/>
        <v>#N/A</v>
      </c>
      <c r="Y59" s="152" t="e">
        <f t="shared" si="17"/>
        <v>#N/A</v>
      </c>
      <c r="Z59" s="152" t="e">
        <f t="shared" si="17"/>
        <v>#N/A</v>
      </c>
      <c r="AA59" s="131"/>
      <c r="AC59" s="131"/>
      <c r="AD59" s="131"/>
    </row>
    <row r="60" spans="1:49" s="123" customFormat="1" x14ac:dyDescent="0.35">
      <c r="A60" s="324"/>
      <c r="B60" s="385"/>
      <c r="C60" s="325"/>
      <c r="D60" s="386"/>
      <c r="E60" s="381" t="s">
        <v>60</v>
      </c>
      <c r="F60" s="387" t="e">
        <f>RANK(F59,$T$19:$T$90,0)</f>
        <v>#N/A</v>
      </c>
      <c r="G60" s="387" t="e">
        <f>RANK(G59,$U$19:$U$80,0)</f>
        <v>#N/A</v>
      </c>
      <c r="H60" s="387" t="e">
        <f>RANK(H59,$V$19:$V$80,0)</f>
        <v>#N/A</v>
      </c>
      <c r="I60" s="387" t="e">
        <f>RANK(I59,$W$19:$W$79,0)</f>
        <v>#N/A</v>
      </c>
      <c r="J60" s="387" t="e">
        <f>RANK(J59,$X$19:$X$79,0)</f>
        <v>#N/A</v>
      </c>
      <c r="K60" s="387" t="e">
        <f>RANK(K59,$Y$19:$Y$85,0)</f>
        <v>#N/A</v>
      </c>
      <c r="L60" s="387" t="e">
        <f>RANK(L59,$Z$19:$Z$85,0)</f>
        <v>#N/A</v>
      </c>
      <c r="M60" s="384"/>
      <c r="N60" s="388"/>
      <c r="O60" s="384"/>
      <c r="P60" s="243">
        <f>B56</f>
        <v>14</v>
      </c>
      <c r="Q60" s="131">
        <f>$A56</f>
        <v>9</v>
      </c>
      <c r="R60" s="131">
        <v>5</v>
      </c>
      <c r="S60" s="131">
        <f>$A56</f>
        <v>9</v>
      </c>
      <c r="T60" s="254"/>
      <c r="U60" s="254"/>
      <c r="V60" s="254"/>
      <c r="W60" s="254"/>
      <c r="X60" s="254"/>
      <c r="Y60" s="254"/>
      <c r="Z60" s="254"/>
      <c r="AA60" s="131"/>
      <c r="AC60" s="131"/>
      <c r="AD60" s="131"/>
    </row>
    <row r="61" spans="1:49" s="123" customFormat="1" x14ac:dyDescent="0.35">
      <c r="A61" s="376">
        <v>10</v>
      </c>
      <c r="B61" s="331">
        <v>61</v>
      </c>
      <c r="C61" s="378" t="str">
        <f>VLOOKUP(B61,Уч!$A$2:$L$16,2,FALSE)</f>
        <v>Ладикан Юлия</v>
      </c>
      <c r="D61" s="333" t="str">
        <f>VLOOKUP(B61,Уч!$A$2:$L$16,3,FALSE)</f>
        <v>15.04.1999</v>
      </c>
      <c r="E61" s="285" t="s">
        <v>18</v>
      </c>
      <c r="F61" s="369">
        <f>VLOOKUP($B61,'110 сб '!$C$17:$I$87,5,FALSE)</f>
        <v>0</v>
      </c>
      <c r="G61" s="369">
        <f>VLOOKUP($B61,высота!$C$17:$AF$42,29,FALSE)</f>
        <v>0</v>
      </c>
      <c r="H61" s="369">
        <f>VLOOKUP($B61,ядро!$C$17:$K$43,8,FALSE)</f>
        <v>10.17</v>
      </c>
      <c r="I61" s="369">
        <f>VLOOKUP($B61,'2_р'!$C$17:$I$68,5,FALSE)</f>
        <v>28.27</v>
      </c>
      <c r="J61" s="369">
        <f>VLOOKUP($B61,Дл_р!$C$17:$O$43,11,FALSE)</f>
        <v>4.97</v>
      </c>
      <c r="K61" s="369">
        <f>VLOOKUP($B61,К_р!$C$18:$K$31,8,FALSE)</f>
        <v>31.2</v>
      </c>
      <c r="L61" s="370" t="str">
        <f>VLOOKUP($B61,'8_р'!$C$17:$H$77,5,FALSE)</f>
        <v>2:24.02</v>
      </c>
      <c r="M61" s="383">
        <f>SUM(F63:L63)</f>
        <v>2971</v>
      </c>
      <c r="N61" s="331">
        <f>LOOKUP(M61,R$1:AA$1,R$2:AA$2)</f>
        <v>3</v>
      </c>
      <c r="O61" s="399">
        <f>AC61+AD61+5</f>
        <v>13</v>
      </c>
      <c r="P61" s="86">
        <f>B61</f>
        <v>61</v>
      </c>
      <c r="Q61" s="131">
        <f>$A61</f>
        <v>10</v>
      </c>
      <c r="R61" s="131">
        <v>1</v>
      </c>
      <c r="S61" s="131">
        <f>$A61</f>
        <v>10</v>
      </c>
      <c r="T61" s="236"/>
      <c r="U61" s="236"/>
      <c r="V61" s="236"/>
      <c r="W61" s="236"/>
      <c r="X61" s="236"/>
      <c r="Y61" s="236"/>
      <c r="Z61" s="236"/>
      <c r="AA61" s="131"/>
      <c r="AB61" s="131"/>
      <c r="AC61" s="131">
        <f>IF(AND(Q61&gt;16,M61&gt;=4600),"1",LOOKUP(Q61,Q$5:AH$5,Q$6:AH$6))</f>
        <v>8</v>
      </c>
      <c r="AD61" s="131">
        <f>LOOKUP(N61,R$8:W$8,R$9:W$9)</f>
        <v>0</v>
      </c>
      <c r="AE61" s="210" t="s">
        <v>89</v>
      </c>
      <c r="AF61" s="211" t="s">
        <v>90</v>
      </c>
      <c r="AG61" s="210">
        <v>4000</v>
      </c>
      <c r="AH61" s="131"/>
      <c r="AI61" s="131"/>
      <c r="AJ61" s="131"/>
      <c r="AK61" s="131"/>
      <c r="AL61" s="131"/>
      <c r="AM61" s="131"/>
      <c r="AN61" s="131"/>
      <c r="AO61" s="131"/>
      <c r="AP61" s="131"/>
      <c r="AQ61" s="131"/>
      <c r="AR61" s="131"/>
      <c r="AS61" s="131"/>
      <c r="AT61" s="131"/>
      <c r="AU61" s="131"/>
      <c r="AV61" s="131"/>
      <c r="AW61" s="131"/>
    </row>
    <row r="62" spans="1:49" s="123" customFormat="1" x14ac:dyDescent="0.35">
      <c r="A62" s="376"/>
      <c r="B62" s="331"/>
      <c r="C62" s="378" t="str">
        <f>VLOOKUP(B61,Уч!$A$2:$L$16,5,FALSE)</f>
        <v xml:space="preserve">Кемеровская область  </v>
      </c>
      <c r="D62" s="333" t="str">
        <f>VLOOKUP(B61,Уч!$A$2:$L$16,4,FALSE)</f>
        <v>КМС</v>
      </c>
      <c r="E62" s="285" t="s">
        <v>25</v>
      </c>
      <c r="F62" s="371">
        <f>VLOOKUP($B61,'110 сб '!$C$17:$I$87,6,FALSE)</f>
        <v>0</v>
      </c>
      <c r="G62" s="369"/>
      <c r="H62" s="369"/>
      <c r="I62" s="371">
        <f>VLOOKUP($B61,'2_р'!$C$17:$I$68,6,FALSE)</f>
        <v>1.2</v>
      </c>
      <c r="J62" s="371">
        <f>VLOOKUP($B61,Дл_р!$C$17:$O$43,12,FALSE)</f>
        <v>0.8</v>
      </c>
      <c r="K62" s="369"/>
      <c r="L62" s="370"/>
      <c r="M62" s="383"/>
      <c r="N62" s="331"/>
      <c r="O62" s="399" t="str">
        <f>CONCATENATE(AC61,"+",AD61,"+",5)</f>
        <v>8+0+5</v>
      </c>
      <c r="P62" s="86">
        <f>B61</f>
        <v>61</v>
      </c>
      <c r="Q62" s="131">
        <f>$A61</f>
        <v>10</v>
      </c>
      <c r="R62" s="131">
        <v>2</v>
      </c>
      <c r="S62" s="131">
        <f>$A61</f>
        <v>10</v>
      </c>
      <c r="T62" s="236"/>
      <c r="U62" s="236"/>
      <c r="V62" s="236"/>
      <c r="W62" s="236"/>
      <c r="X62" s="236"/>
      <c r="Y62" s="236"/>
      <c r="Z62" s="236"/>
      <c r="AA62" s="88"/>
      <c r="AB62" s="244"/>
      <c r="AC62" s="131"/>
      <c r="AD62" s="131"/>
      <c r="AE62" s="131"/>
      <c r="AF62" s="131"/>
      <c r="AG62" s="131"/>
      <c r="AH62" s="131"/>
      <c r="AI62" s="131"/>
      <c r="AJ62" s="131"/>
      <c r="AK62" s="131"/>
      <c r="AL62" s="131"/>
      <c r="AM62" s="131"/>
      <c r="AN62" s="131"/>
      <c r="AO62" s="131"/>
      <c r="AP62" s="131"/>
      <c r="AQ62" s="131"/>
      <c r="AR62" s="131"/>
      <c r="AS62" s="131"/>
      <c r="AT62" s="131"/>
      <c r="AU62" s="131"/>
      <c r="AV62" s="131"/>
      <c r="AW62" s="131"/>
    </row>
    <row r="63" spans="1:49" s="123" customFormat="1" x14ac:dyDescent="0.35">
      <c r="A63" s="376"/>
      <c r="B63" s="331"/>
      <c r="C63" s="379" t="str">
        <f>VLOOKUP(B61,Уч!$A$2:$L$16,7,FALSE)</f>
        <v>МА ФСУ «СШОР по легкой атлетике»</v>
      </c>
      <c r="D63" s="372"/>
      <c r="E63" s="285" t="s">
        <v>29</v>
      </c>
      <c r="F63" s="370">
        <f>VLOOKUP($B61,'110 сб '!$C$17:$I$87,7,FALSE)</f>
        <v>0</v>
      </c>
      <c r="G63" s="370">
        <f>VLOOKUP($B61,высота!$C$17:$AF$42,30,FALSE)</f>
        <v>0</v>
      </c>
      <c r="H63" s="370">
        <f>VLOOKUP($B61,ядро!$C$17:$K$43,9,FALSE)</f>
        <v>541</v>
      </c>
      <c r="I63" s="370">
        <f>VLOOKUP($B61,'2_р'!$C$17:$I$68,7,FALSE)</f>
        <v>610</v>
      </c>
      <c r="J63" s="370">
        <f>VLOOKUP($B61,Дл_р!$C$17:$O$43,13,FALSE)</f>
        <v>551</v>
      </c>
      <c r="K63" s="370">
        <f>VLOOKUP($B61,К_р!$C$18:$K$31,9,FALSE)</f>
        <v>499</v>
      </c>
      <c r="L63" s="370">
        <f>VLOOKUP($B61,'8_р'!$C$17:$H$77,6,FALSE)</f>
        <v>770</v>
      </c>
      <c r="M63" s="383"/>
      <c r="N63" s="294"/>
      <c r="O63" s="400"/>
      <c r="P63" s="243">
        <f>B61</f>
        <v>61</v>
      </c>
      <c r="Q63" s="131">
        <f>$A61</f>
        <v>10</v>
      </c>
      <c r="R63" s="131">
        <v>3</v>
      </c>
      <c r="S63" s="131">
        <f>$A61</f>
        <v>10</v>
      </c>
      <c r="T63" s="236"/>
      <c r="U63" s="236"/>
      <c r="V63" s="236"/>
      <c r="W63" s="236"/>
      <c r="X63" s="236"/>
      <c r="Y63" s="236"/>
      <c r="Z63" s="236"/>
      <c r="AC63" s="131"/>
      <c r="AD63" s="131"/>
      <c r="AE63" s="131"/>
      <c r="AF63" s="131"/>
      <c r="AG63" s="131"/>
      <c r="AH63" s="131"/>
      <c r="AI63" s="131"/>
      <c r="AJ63" s="131"/>
      <c r="AK63" s="131"/>
      <c r="AL63" s="131"/>
      <c r="AM63" s="131"/>
      <c r="AN63" s="131"/>
      <c r="AO63" s="131"/>
      <c r="AP63" s="131"/>
      <c r="AQ63" s="131"/>
      <c r="AR63" s="131"/>
      <c r="AS63" s="131"/>
      <c r="AT63" s="131"/>
      <c r="AU63" s="131"/>
      <c r="AV63" s="131"/>
      <c r="AW63" s="131"/>
    </row>
    <row r="64" spans="1:49" s="123" customFormat="1" x14ac:dyDescent="0.35">
      <c r="A64" s="376"/>
      <c r="B64" s="331"/>
      <c r="C64" s="379" t="str">
        <f>VLOOKUP(B61,Уч!$A$2:$L$16,11,FALSE)</f>
        <v>Мартынов Н.М.</v>
      </c>
      <c r="D64" s="373"/>
      <c r="E64" s="285" t="s">
        <v>125</v>
      </c>
      <c r="F64" s="370">
        <f>F63</f>
        <v>0</v>
      </c>
      <c r="G64" s="370">
        <f t="shared" ref="G64:L64" si="18">F64+G63</f>
        <v>0</v>
      </c>
      <c r="H64" s="370">
        <f t="shared" si="18"/>
        <v>541</v>
      </c>
      <c r="I64" s="370">
        <f t="shared" si="18"/>
        <v>1151</v>
      </c>
      <c r="J64" s="370">
        <f t="shared" si="18"/>
        <v>1702</v>
      </c>
      <c r="K64" s="370">
        <f t="shared" si="18"/>
        <v>2201</v>
      </c>
      <c r="L64" s="370">
        <f t="shared" si="18"/>
        <v>2971</v>
      </c>
      <c r="M64" s="383"/>
      <c r="N64" s="294"/>
      <c r="O64" s="400"/>
      <c r="P64" s="243">
        <f>B61</f>
        <v>61</v>
      </c>
      <c r="Q64" s="131">
        <f>$A61</f>
        <v>10</v>
      </c>
      <c r="R64" s="131">
        <v>4</v>
      </c>
      <c r="S64" s="131">
        <f>$A61</f>
        <v>10</v>
      </c>
      <c r="T64" s="152">
        <f t="shared" ref="T64:Z64" si="19">F64</f>
        <v>0</v>
      </c>
      <c r="U64" s="152">
        <f t="shared" si="19"/>
        <v>0</v>
      </c>
      <c r="V64" s="152">
        <f t="shared" si="19"/>
        <v>541</v>
      </c>
      <c r="W64" s="152">
        <f t="shared" si="19"/>
        <v>1151</v>
      </c>
      <c r="X64" s="152">
        <f t="shared" si="19"/>
        <v>1702</v>
      </c>
      <c r="Y64" s="152">
        <f t="shared" si="19"/>
        <v>2201</v>
      </c>
      <c r="Z64" s="152">
        <f t="shared" si="19"/>
        <v>2971</v>
      </c>
      <c r="AC64" s="131"/>
      <c r="AD64" s="131"/>
      <c r="AE64" s="131"/>
      <c r="AF64" s="131"/>
      <c r="AG64" s="131"/>
      <c r="AH64" s="131"/>
      <c r="AI64" s="131"/>
      <c r="AJ64" s="131"/>
      <c r="AK64" s="131"/>
      <c r="AL64" s="131"/>
      <c r="AM64" s="131"/>
      <c r="AN64" s="131"/>
      <c r="AO64" s="131"/>
      <c r="AP64" s="131"/>
      <c r="AQ64" s="131"/>
      <c r="AR64" s="131"/>
      <c r="AS64" s="131"/>
      <c r="AT64" s="131"/>
      <c r="AU64" s="131"/>
      <c r="AV64" s="131"/>
      <c r="AW64" s="131"/>
    </row>
    <row r="65" spans="1:49" s="123" customFormat="1" x14ac:dyDescent="0.35">
      <c r="A65" s="324"/>
      <c r="B65" s="385"/>
      <c r="C65" s="325"/>
      <c r="D65" s="386"/>
      <c r="E65" s="381" t="s">
        <v>60</v>
      </c>
      <c r="F65" s="387" t="e">
        <f>RANK(F64,$T$19:$T$90,0)</f>
        <v>#N/A</v>
      </c>
      <c r="G65" s="387" t="e">
        <f>RANK(G64,$U$19:$U$80,0)</f>
        <v>#N/A</v>
      </c>
      <c r="H65" s="387" t="e">
        <f>RANK(H64,$V$19:$V$80,0)</f>
        <v>#N/A</v>
      </c>
      <c r="I65" s="387" t="e">
        <f>RANK(I64,$W$19:$W$79,0)</f>
        <v>#N/A</v>
      </c>
      <c r="J65" s="387" t="e">
        <f>RANK(J64,$X$19:$X$79,0)</f>
        <v>#N/A</v>
      </c>
      <c r="K65" s="387" t="e">
        <f>RANK(K64,$Y$19:$Y$85,0)</f>
        <v>#N/A</v>
      </c>
      <c r="L65" s="387" t="e">
        <f>RANK(L64,$Z$19:$Z$85,0)</f>
        <v>#N/A</v>
      </c>
      <c r="M65" s="384"/>
      <c r="N65" s="388"/>
      <c r="O65" s="401"/>
      <c r="P65" s="243">
        <f>B61</f>
        <v>61</v>
      </c>
      <c r="Q65" s="131">
        <f>$A61</f>
        <v>10</v>
      </c>
      <c r="R65" s="131">
        <v>5</v>
      </c>
      <c r="S65" s="131">
        <f>$A61</f>
        <v>10</v>
      </c>
      <c r="T65" s="236"/>
      <c r="U65" s="236"/>
      <c r="V65" s="236"/>
      <c r="W65" s="236"/>
      <c r="X65" s="236"/>
      <c r="Y65" s="236"/>
      <c r="Z65" s="236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1"/>
      <c r="AV65" s="131"/>
      <c r="AW65" s="131"/>
    </row>
    <row r="66" spans="1:49" s="123" customFormat="1" x14ac:dyDescent="0.35">
      <c r="A66" s="376">
        <v>11</v>
      </c>
      <c r="B66" s="331">
        <v>76</v>
      </c>
      <c r="C66" s="378" t="e">
        <f>VLOOKUP(B66,Уч!$A$2:$L$16,2,FALSE)</f>
        <v>#N/A</v>
      </c>
      <c r="D66" s="333" t="e">
        <f>VLOOKUP(B66,Уч!$A$2:$L$16,3,FALSE)</f>
        <v>#N/A</v>
      </c>
      <c r="E66" s="285" t="s">
        <v>18</v>
      </c>
      <c r="F66" s="369" t="e">
        <f>VLOOKUP($B66,'110 сб '!$C$17:$I$87,5,FALSE)</f>
        <v>#N/A</v>
      </c>
      <c r="G66" s="369" t="e">
        <f>VLOOKUP($B66,высота!$C$17:$AF$42,29,FALSE)</f>
        <v>#N/A</v>
      </c>
      <c r="H66" s="369" t="e">
        <f>VLOOKUP($B66,ядро!$C$17:$K$43,8,FALSE)</f>
        <v>#N/A</v>
      </c>
      <c r="I66" s="369">
        <f>VLOOKUP($B66,'2_р'!$C$17:$I$68,5,FALSE)</f>
        <v>27.12</v>
      </c>
      <c r="J66" s="369">
        <f>VLOOKUP($B66,Дл_р!$C$17:$O$43,11,FALSE)</f>
        <v>5.04</v>
      </c>
      <c r="K66" s="369">
        <f>VLOOKUP($B66,К_р!$C$18:$K$31,8,FALSE)</f>
        <v>30.17</v>
      </c>
      <c r="L66" s="370" t="str">
        <f>VLOOKUP($B66,'8_р'!$C$17:$H$77,5,FALSE)</f>
        <v>2:25.27</v>
      </c>
      <c r="M66" s="383" t="e">
        <f>SUM(F68:L68)</f>
        <v>#N/A</v>
      </c>
      <c r="N66" s="331" t="e">
        <f>LOOKUP(M66,R$1:AA$1,R$2:AA$2)</f>
        <v>#N/A</v>
      </c>
      <c r="O66" s="399" t="e">
        <f>AC66+AD66+5</f>
        <v>#N/A</v>
      </c>
      <c r="P66" s="86">
        <f>B66</f>
        <v>76</v>
      </c>
      <c r="Q66" s="131">
        <f>$A66</f>
        <v>11</v>
      </c>
      <c r="R66" s="131">
        <v>1</v>
      </c>
      <c r="S66" s="131">
        <f>$A66</f>
        <v>11</v>
      </c>
      <c r="T66" s="236"/>
      <c r="U66" s="236"/>
      <c r="V66" s="236"/>
      <c r="W66" s="236"/>
      <c r="X66" s="236"/>
      <c r="Y66" s="236"/>
      <c r="Z66" s="236"/>
      <c r="AC66" s="131" t="e">
        <f>IF(AND(Q66&gt;16,M66&gt;=4600),"1",LOOKUP(Q66,Q$5:AH$5,Q$6:AH$6))</f>
        <v>#N/A</v>
      </c>
      <c r="AD66" s="131" t="e">
        <f>LOOKUP(N66,R$8:W$8,R$9:W$9)</f>
        <v>#N/A</v>
      </c>
    </row>
    <row r="67" spans="1:49" s="123" customFormat="1" x14ac:dyDescent="0.35">
      <c r="A67" s="376"/>
      <c r="B67" s="331"/>
      <c r="C67" s="378" t="e">
        <f>VLOOKUP(B66,Уч!$A$2:$L$16,5,FALSE)</f>
        <v>#N/A</v>
      </c>
      <c r="D67" s="331" t="e">
        <f>VLOOKUP(B66,Уч!$A$2:$L$16,4,FALSE)</f>
        <v>#N/A</v>
      </c>
      <c r="E67" s="285" t="s">
        <v>25</v>
      </c>
      <c r="F67" s="371" t="e">
        <f>VLOOKUP($B66,'110 сб '!$C$17:$I$87,6,FALSE)</f>
        <v>#N/A</v>
      </c>
      <c r="G67" s="369"/>
      <c r="H67" s="369"/>
      <c r="I67" s="371">
        <f>VLOOKUP($B66,'2_р'!$C$17:$I$68,6,FALSE)</f>
        <v>0</v>
      </c>
      <c r="J67" s="371">
        <f>VLOOKUP($B66,Дл_р!$C$17:$O$43,12,FALSE)</f>
        <v>-1.1000000000000001</v>
      </c>
      <c r="K67" s="369"/>
      <c r="L67" s="370"/>
      <c r="M67" s="383"/>
      <c r="N67" s="331"/>
      <c r="O67" s="399" t="e">
        <f>CONCATENATE(AC66,"+",AD66,"+",5)</f>
        <v>#N/A</v>
      </c>
      <c r="P67" s="86">
        <f>B66</f>
        <v>76</v>
      </c>
      <c r="Q67" s="131">
        <f>$A66</f>
        <v>11</v>
      </c>
      <c r="R67" s="131">
        <v>2</v>
      </c>
      <c r="S67" s="131">
        <f>$A66</f>
        <v>11</v>
      </c>
      <c r="T67" s="236"/>
      <c r="U67" s="236"/>
      <c r="V67" s="236"/>
      <c r="W67" s="236"/>
      <c r="X67" s="236"/>
      <c r="Y67" s="236"/>
      <c r="Z67" s="236"/>
      <c r="AC67" s="131"/>
      <c r="AD67" s="131"/>
    </row>
    <row r="68" spans="1:49" s="123" customFormat="1" x14ac:dyDescent="0.35">
      <c r="A68" s="376"/>
      <c r="B68" s="331"/>
      <c r="C68" s="379" t="e">
        <f>VLOOKUP(B66,Уч!$A$2:$L$16,7,FALSE)</f>
        <v>#N/A</v>
      </c>
      <c r="D68" s="372"/>
      <c r="E68" s="285" t="s">
        <v>29</v>
      </c>
      <c r="F68" s="370" t="e">
        <f>VLOOKUP($B66,'110 сб '!$C$17:$I$87,7,FALSE)</f>
        <v>#N/A</v>
      </c>
      <c r="G68" s="370" t="e">
        <f>VLOOKUP($B66,высота!$C$17:$AF$42,30,FALSE)</f>
        <v>#N/A</v>
      </c>
      <c r="H68" s="370" t="e">
        <f>VLOOKUP($B66,ядро!$C$17:$K$43,9,FALSE)</f>
        <v>#N/A</v>
      </c>
      <c r="I68" s="370">
        <f>VLOOKUP($B66,'2_р'!$C$17:$I$68,7,FALSE)</f>
        <v>702</v>
      </c>
      <c r="J68" s="370">
        <f>VLOOKUP($B66,Дл_р!$C$17:$O$43,13,FALSE)</f>
        <v>570</v>
      </c>
      <c r="K68" s="370">
        <f>VLOOKUP($B66,К_р!$C$18:$K$31,9,FALSE)</f>
        <v>480</v>
      </c>
      <c r="L68" s="370">
        <f>VLOOKUP($B66,'8_р'!$C$17:$H$77,6,FALSE)</f>
        <v>753</v>
      </c>
      <c r="M68" s="383"/>
      <c r="N68" s="294"/>
      <c r="O68" s="400"/>
      <c r="P68" s="243">
        <f>B66</f>
        <v>76</v>
      </c>
      <c r="Q68" s="131">
        <f>$A66</f>
        <v>11</v>
      </c>
      <c r="R68" s="131">
        <v>3</v>
      </c>
      <c r="S68" s="131">
        <f>$A66</f>
        <v>11</v>
      </c>
      <c r="T68" s="236"/>
      <c r="U68" s="236"/>
      <c r="V68" s="236"/>
      <c r="W68" s="236"/>
      <c r="X68" s="236"/>
      <c r="Y68" s="236"/>
      <c r="Z68" s="236"/>
      <c r="AB68" s="86"/>
      <c r="AC68" s="131"/>
      <c r="AD68" s="131"/>
    </row>
    <row r="69" spans="1:49" s="123" customFormat="1" x14ac:dyDescent="0.35">
      <c r="A69" s="376"/>
      <c r="B69" s="331"/>
      <c r="C69" s="379" t="e">
        <f>VLOOKUP(B66,Уч!$A$2:$L$16,11,FALSE)</f>
        <v>#N/A</v>
      </c>
      <c r="D69" s="373"/>
      <c r="E69" s="285" t="s">
        <v>125</v>
      </c>
      <c r="F69" s="370" t="e">
        <f>F68</f>
        <v>#N/A</v>
      </c>
      <c r="G69" s="370" t="e">
        <f t="shared" ref="G69:L69" si="20">F69+G68</f>
        <v>#N/A</v>
      </c>
      <c r="H69" s="370" t="e">
        <f t="shared" si="20"/>
        <v>#N/A</v>
      </c>
      <c r="I69" s="370" t="e">
        <f t="shared" si="20"/>
        <v>#N/A</v>
      </c>
      <c r="J69" s="370" t="e">
        <f t="shared" si="20"/>
        <v>#N/A</v>
      </c>
      <c r="K69" s="370" t="e">
        <f t="shared" si="20"/>
        <v>#N/A</v>
      </c>
      <c r="L69" s="370" t="e">
        <f t="shared" si="20"/>
        <v>#N/A</v>
      </c>
      <c r="M69" s="383"/>
      <c r="N69" s="294"/>
      <c r="O69" s="383"/>
      <c r="P69" s="243">
        <f>B66</f>
        <v>76</v>
      </c>
      <c r="Q69" s="131">
        <f>$A66</f>
        <v>11</v>
      </c>
      <c r="R69" s="131">
        <v>4</v>
      </c>
      <c r="S69" s="131">
        <f>$A66</f>
        <v>11</v>
      </c>
      <c r="T69" s="152" t="e">
        <f t="shared" ref="T69:Z69" si="21">F69</f>
        <v>#N/A</v>
      </c>
      <c r="U69" s="152" t="e">
        <f t="shared" si="21"/>
        <v>#N/A</v>
      </c>
      <c r="V69" s="152" t="e">
        <f t="shared" si="21"/>
        <v>#N/A</v>
      </c>
      <c r="W69" s="152" t="e">
        <f t="shared" si="21"/>
        <v>#N/A</v>
      </c>
      <c r="X69" s="152" t="e">
        <f t="shared" si="21"/>
        <v>#N/A</v>
      </c>
      <c r="Y69" s="152" t="e">
        <f t="shared" si="21"/>
        <v>#N/A</v>
      </c>
      <c r="Z69" s="152" t="e">
        <f t="shared" si="21"/>
        <v>#N/A</v>
      </c>
      <c r="AB69" s="86"/>
      <c r="AC69" s="131"/>
      <c r="AD69" s="131"/>
    </row>
    <row r="70" spans="1:49" s="123" customFormat="1" x14ac:dyDescent="0.35">
      <c r="A70" s="324"/>
      <c r="B70" s="385"/>
      <c r="C70" s="325"/>
      <c r="D70" s="386"/>
      <c r="E70" s="381" t="s">
        <v>60</v>
      </c>
      <c r="F70" s="387" t="e">
        <f>RANK(F69,$T$19:$T$90,0)</f>
        <v>#N/A</v>
      </c>
      <c r="G70" s="387" t="e">
        <f>RANK(G69,$U$19:$U$80,0)</f>
        <v>#N/A</v>
      </c>
      <c r="H70" s="387" t="e">
        <f>RANK(H69,$V$19:$V$80,0)</f>
        <v>#N/A</v>
      </c>
      <c r="I70" s="387" t="e">
        <f>RANK(I69,$W$19:$W$79,0)</f>
        <v>#N/A</v>
      </c>
      <c r="J70" s="387" t="e">
        <f>RANK(J69,$X$19:$X$79,0)</f>
        <v>#N/A</v>
      </c>
      <c r="K70" s="387" t="e">
        <f>RANK(K69,$Y$19:$Y$85,0)</f>
        <v>#N/A</v>
      </c>
      <c r="L70" s="387" t="e">
        <f>RANK(L69,$Z$19:$Z$85,0)</f>
        <v>#N/A</v>
      </c>
      <c r="M70" s="384"/>
      <c r="N70" s="388"/>
      <c r="O70" s="384"/>
      <c r="P70" s="243">
        <f>B66</f>
        <v>76</v>
      </c>
      <c r="Q70" s="131">
        <f>$A66</f>
        <v>11</v>
      </c>
      <c r="R70" s="131">
        <v>5</v>
      </c>
      <c r="S70" s="131">
        <f>$A66</f>
        <v>11</v>
      </c>
      <c r="T70" s="236"/>
      <c r="U70" s="236"/>
      <c r="V70" s="236"/>
      <c r="W70" s="236"/>
      <c r="X70" s="236"/>
      <c r="Y70" s="236"/>
      <c r="Z70" s="236"/>
      <c r="AB70" s="86"/>
      <c r="AC70" s="131"/>
      <c r="AD70" s="131"/>
    </row>
    <row r="71" spans="1:49" s="123" customFormat="1" x14ac:dyDescent="0.35">
      <c r="A71" s="376">
        <v>12</v>
      </c>
      <c r="B71" s="331">
        <v>13</v>
      </c>
      <c r="C71" s="378" t="e">
        <f>VLOOKUP(B71,Уч!$A$2:$L$16,2,FALSE)</f>
        <v>#N/A</v>
      </c>
      <c r="D71" s="333" t="e">
        <f>VLOOKUP(B71,Уч!$A$2:$L$16,3,FALSE)</f>
        <v>#N/A</v>
      </c>
      <c r="E71" s="285" t="s">
        <v>18</v>
      </c>
      <c r="F71" s="369" t="e">
        <f>VLOOKUP($B71,'110 сб '!$C$17:$I$87,5,FALSE)</f>
        <v>#N/A</v>
      </c>
      <c r="G71" s="369" t="e">
        <f>VLOOKUP($B71,высота!$C$17:$AF$42,29,FALSE)</f>
        <v>#N/A</v>
      </c>
      <c r="H71" s="369" t="e">
        <f>VLOOKUP($B71,ядро!$C$17:$K$43,8,FALSE)</f>
        <v>#N/A</v>
      </c>
      <c r="I71" s="369">
        <f>VLOOKUP($B71,'2_р'!$C$17:$I$68,5,FALSE)</f>
        <v>28.13</v>
      </c>
      <c r="J71" s="369">
        <f>VLOOKUP($B71,Дл_р!$C$17:$O$43,11,FALSE)</f>
        <v>4.87</v>
      </c>
      <c r="K71" s="369">
        <f>VLOOKUP($B71,К_р!$C$18:$K$31,8,FALSE)</f>
        <v>34.19</v>
      </c>
      <c r="L71" s="370" t="str">
        <f>VLOOKUP($B71,'8_р'!$C$17:$H$77,5,FALSE)</f>
        <v>2:35.01</v>
      </c>
      <c r="M71" s="383" t="e">
        <f>SUM(F73:L73)</f>
        <v>#N/A</v>
      </c>
      <c r="N71" s="331" t="e">
        <f>LOOKUP(M71,R$1:AA$1,R$2:AA$2)</f>
        <v>#N/A</v>
      </c>
      <c r="O71" s="376" t="e">
        <f>AC71+AD71+5</f>
        <v>#N/A</v>
      </c>
      <c r="P71" s="86">
        <f>B71</f>
        <v>13</v>
      </c>
      <c r="Q71" s="131">
        <f>$A71</f>
        <v>12</v>
      </c>
      <c r="R71" s="131">
        <v>1</v>
      </c>
      <c r="S71" s="131">
        <f>$A71</f>
        <v>12</v>
      </c>
      <c r="T71" s="254"/>
      <c r="U71" s="254"/>
      <c r="V71" s="254"/>
      <c r="W71" s="254"/>
      <c r="X71" s="254"/>
      <c r="Y71" s="254"/>
      <c r="Z71" s="254"/>
      <c r="AB71" s="86"/>
      <c r="AC71" s="131">
        <v>12</v>
      </c>
      <c r="AD71" s="131" t="e">
        <f>LOOKUP(N71,R$8:W$8,R$9:W$9)</f>
        <v>#N/A</v>
      </c>
    </row>
    <row r="72" spans="1:49" s="123" customFormat="1" x14ac:dyDescent="0.35">
      <c r="A72" s="376"/>
      <c r="B72" s="331"/>
      <c r="C72" s="378" t="e">
        <f>VLOOKUP(B71,Уч!$A$2:$L$16,5,FALSE)</f>
        <v>#N/A</v>
      </c>
      <c r="D72" s="374" t="e">
        <f>VLOOKUP(B71,Уч!$A$2:$L$16,4,FALSE)</f>
        <v>#N/A</v>
      </c>
      <c r="E72" s="285" t="s">
        <v>25</v>
      </c>
      <c r="F72" s="371" t="e">
        <f>VLOOKUP($B71,'110 сб '!$C$17:$I$87,6,FALSE)</f>
        <v>#N/A</v>
      </c>
      <c r="G72" s="369"/>
      <c r="H72" s="369"/>
      <c r="I72" s="371">
        <f>VLOOKUP($B71,'2_р'!$C$17:$I$68,6,FALSE)</f>
        <v>1.2</v>
      </c>
      <c r="J72" s="371">
        <f>VLOOKUP($B71,Дл_р!$C$17:$O$43,12,FALSE)</f>
        <v>0.3</v>
      </c>
      <c r="K72" s="369"/>
      <c r="L72" s="370"/>
      <c r="M72" s="383"/>
      <c r="N72" s="331"/>
      <c r="O72" s="376" t="e">
        <f>CONCATENATE(AC71,"+",AD71,"+",5)</f>
        <v>#N/A</v>
      </c>
      <c r="P72" s="86">
        <f>B71</f>
        <v>13</v>
      </c>
      <c r="Q72" s="131">
        <f>$A71</f>
        <v>12</v>
      </c>
      <c r="R72" s="131">
        <v>2</v>
      </c>
      <c r="S72" s="131">
        <f>$A71</f>
        <v>12</v>
      </c>
      <c r="T72" s="254"/>
      <c r="U72" s="254"/>
      <c r="V72" s="254"/>
      <c r="W72" s="254"/>
      <c r="X72" s="254"/>
      <c r="Y72" s="254"/>
      <c r="Z72" s="254"/>
      <c r="AB72" s="86"/>
      <c r="AC72" s="131"/>
      <c r="AD72" s="131"/>
    </row>
    <row r="73" spans="1:49" s="123" customFormat="1" x14ac:dyDescent="0.35">
      <c r="A73" s="376"/>
      <c r="B73" s="331"/>
      <c r="C73" s="379" t="e">
        <f>VLOOKUP(B71,Уч!$A$2:$L$16,7,FALSE)</f>
        <v>#N/A</v>
      </c>
      <c r="D73" s="372"/>
      <c r="E73" s="285" t="s">
        <v>29</v>
      </c>
      <c r="F73" s="370" t="e">
        <f>VLOOKUP($B71,'110 сб '!$C$17:$I$87,7,FALSE)</f>
        <v>#N/A</v>
      </c>
      <c r="G73" s="370" t="e">
        <f>VLOOKUP($B71,высота!$C$17:$AF$42,30,FALSE)</f>
        <v>#N/A</v>
      </c>
      <c r="H73" s="370" t="e">
        <f>VLOOKUP($B71,ядро!$C$17:$K$43,9,FALSE)</f>
        <v>#N/A</v>
      </c>
      <c r="I73" s="370">
        <f>VLOOKUP($B71,'2_р'!$C$17:$I$68,7,FALSE)</f>
        <v>621</v>
      </c>
      <c r="J73" s="370">
        <f>VLOOKUP($B71,Дл_р!$C$17:$O$43,13,FALSE)</f>
        <v>524</v>
      </c>
      <c r="K73" s="370">
        <f>VLOOKUP($B71,К_р!$C$18:$K$31,9,FALSE)</f>
        <v>556</v>
      </c>
      <c r="L73" s="370">
        <f>VLOOKUP($B71,'8_р'!$C$17:$H$77,6,FALSE)</f>
        <v>631</v>
      </c>
      <c r="M73" s="383"/>
      <c r="N73" s="294"/>
      <c r="O73" s="383"/>
      <c r="P73" s="243">
        <f>B71</f>
        <v>13</v>
      </c>
      <c r="Q73" s="131">
        <f>$A71</f>
        <v>12</v>
      </c>
      <c r="R73" s="131">
        <v>3</v>
      </c>
      <c r="S73" s="131">
        <f>$A71</f>
        <v>12</v>
      </c>
      <c r="T73" s="254"/>
      <c r="U73" s="254"/>
      <c r="V73" s="254"/>
      <c r="W73" s="254"/>
      <c r="X73" s="254"/>
      <c r="Y73" s="254"/>
      <c r="Z73" s="254"/>
      <c r="AB73" s="86"/>
      <c r="AC73" s="131"/>
      <c r="AD73" s="131"/>
    </row>
    <row r="74" spans="1:49" s="123" customFormat="1" x14ac:dyDescent="0.35">
      <c r="A74" s="376"/>
      <c r="B74" s="331"/>
      <c r="C74" s="379" t="e">
        <f>VLOOKUP(B71,Уч!$A$2:$L$16,11,FALSE)</f>
        <v>#N/A</v>
      </c>
      <c r="D74" s="373"/>
      <c r="E74" s="285" t="s">
        <v>125</v>
      </c>
      <c r="F74" s="370" t="e">
        <f>F73</f>
        <v>#N/A</v>
      </c>
      <c r="G74" s="370" t="e">
        <f t="shared" ref="G74:L74" si="22">F74+G73</f>
        <v>#N/A</v>
      </c>
      <c r="H74" s="370" t="e">
        <f t="shared" si="22"/>
        <v>#N/A</v>
      </c>
      <c r="I74" s="370" t="e">
        <f t="shared" si="22"/>
        <v>#N/A</v>
      </c>
      <c r="J74" s="370" t="e">
        <f t="shared" si="22"/>
        <v>#N/A</v>
      </c>
      <c r="K74" s="370" t="e">
        <f t="shared" si="22"/>
        <v>#N/A</v>
      </c>
      <c r="L74" s="370" t="e">
        <f t="shared" si="22"/>
        <v>#N/A</v>
      </c>
      <c r="M74" s="383"/>
      <c r="N74" s="294"/>
      <c r="O74" s="383"/>
      <c r="P74" s="243">
        <f>B71</f>
        <v>13</v>
      </c>
      <c r="Q74" s="131">
        <f>$A71</f>
        <v>12</v>
      </c>
      <c r="R74" s="131">
        <v>4</v>
      </c>
      <c r="S74" s="131">
        <f>$A71</f>
        <v>12</v>
      </c>
      <c r="T74" s="152" t="e">
        <f t="shared" ref="T74:Z74" si="23">F74</f>
        <v>#N/A</v>
      </c>
      <c r="U74" s="152" t="e">
        <f t="shared" si="23"/>
        <v>#N/A</v>
      </c>
      <c r="V74" s="152" t="e">
        <f t="shared" si="23"/>
        <v>#N/A</v>
      </c>
      <c r="W74" s="152" t="e">
        <f t="shared" si="23"/>
        <v>#N/A</v>
      </c>
      <c r="X74" s="152" t="e">
        <f t="shared" si="23"/>
        <v>#N/A</v>
      </c>
      <c r="Y74" s="152" t="e">
        <f t="shared" si="23"/>
        <v>#N/A</v>
      </c>
      <c r="Z74" s="152" t="e">
        <f t="shared" si="23"/>
        <v>#N/A</v>
      </c>
      <c r="AB74" s="86"/>
      <c r="AC74" s="131"/>
      <c r="AD74" s="131"/>
    </row>
    <row r="75" spans="1:49" s="123" customFormat="1" x14ac:dyDescent="0.35">
      <c r="A75" s="324"/>
      <c r="B75" s="385"/>
      <c r="C75" s="325"/>
      <c r="D75" s="386"/>
      <c r="E75" s="381" t="s">
        <v>60</v>
      </c>
      <c r="F75" s="387" t="e">
        <f>RANK(F74,$T$19:$T$90,0)</f>
        <v>#N/A</v>
      </c>
      <c r="G75" s="387" t="e">
        <f>RANK(G74,$U$19:$U$80,0)</f>
        <v>#N/A</v>
      </c>
      <c r="H75" s="387" t="e">
        <f>RANK(H74,$V$19:$V$80,0)</f>
        <v>#N/A</v>
      </c>
      <c r="I75" s="387" t="e">
        <f>RANK(I74,$W$19:$W$79,0)</f>
        <v>#N/A</v>
      </c>
      <c r="J75" s="387" t="e">
        <f>RANK(J74,$X$19:$X$79,0)</f>
        <v>#N/A</v>
      </c>
      <c r="K75" s="387" t="e">
        <f>RANK(K74,$Y$19:$Y$85,0)</f>
        <v>#N/A</v>
      </c>
      <c r="L75" s="387" t="e">
        <f>RANK(L74,$Z$19:$Z$85,0)</f>
        <v>#N/A</v>
      </c>
      <c r="M75" s="384"/>
      <c r="N75" s="388"/>
      <c r="O75" s="384"/>
      <c r="P75" s="243">
        <f>B71</f>
        <v>13</v>
      </c>
      <c r="Q75" s="131">
        <f>$A71</f>
        <v>12</v>
      </c>
      <c r="R75" s="131">
        <v>5</v>
      </c>
      <c r="S75" s="131">
        <f>$A71</f>
        <v>12</v>
      </c>
      <c r="T75" s="254"/>
      <c r="U75" s="254"/>
      <c r="V75" s="254"/>
      <c r="W75" s="254"/>
      <c r="X75" s="254"/>
      <c r="Y75" s="254"/>
      <c r="Z75" s="254"/>
      <c r="AB75" s="86"/>
      <c r="AC75" s="131"/>
      <c r="AD75" s="131"/>
    </row>
    <row r="76" spans="1:49" s="123" customFormat="1" x14ac:dyDescent="0.35">
      <c r="A76" s="376"/>
      <c r="B76" s="331">
        <v>38</v>
      </c>
      <c r="C76" s="378" t="e">
        <f>VLOOKUP(B76,Уч!$A$2:$L$16,2,FALSE)</f>
        <v>#N/A</v>
      </c>
      <c r="D76" s="333" t="e">
        <f>VLOOKUP(B76,Уч!$A$2:$L$16,3,FALSE)</f>
        <v>#N/A</v>
      </c>
      <c r="E76" s="285" t="s">
        <v>18</v>
      </c>
      <c r="F76" s="369" t="e">
        <f>VLOOKUP($B76,'110 сб '!$C$17:$I$87,5,FALSE)</f>
        <v>#N/A</v>
      </c>
      <c r="G76" s="369" t="e">
        <f>VLOOKUP($B76,высота!$C$17:$AF$42,29,FALSE)</f>
        <v>#N/A</v>
      </c>
      <c r="H76" s="369" t="e">
        <f>VLOOKUP($B76,ядро!$C$17:$K$43,8,FALSE)</f>
        <v>#N/A</v>
      </c>
      <c r="I76" s="369">
        <f>VLOOKUP($B76,'2_р'!$C$17:$I$68,5,FALSE)</f>
        <v>26.46</v>
      </c>
      <c r="J76" s="369">
        <f>VLOOKUP($B76,Дл_р!$C$17:$O$43,11,FALSE)</f>
        <v>5.54</v>
      </c>
      <c r="K76" s="369">
        <f>VLOOKUP($B76,К_р!$C$18:$K$31,8,FALSE)</f>
        <v>41.32</v>
      </c>
      <c r="L76" s="370" t="s">
        <v>154</v>
      </c>
      <c r="M76" s="383"/>
      <c r="N76" s="331"/>
      <c r="O76" s="376"/>
      <c r="P76" s="86">
        <f>B76</f>
        <v>38</v>
      </c>
      <c r="Q76" s="131">
        <f>$A76</f>
        <v>0</v>
      </c>
      <c r="R76" s="131">
        <v>1</v>
      </c>
      <c r="S76" s="131">
        <f>$A76</f>
        <v>0</v>
      </c>
      <c r="T76" s="236"/>
      <c r="U76" s="236"/>
      <c r="V76" s="236"/>
      <c r="W76" s="236"/>
      <c r="X76" s="236"/>
      <c r="Y76" s="236"/>
      <c r="Z76" s="253"/>
      <c r="AB76" s="86"/>
      <c r="AC76" s="131" t="e">
        <f>IF(AND(Q76&gt;16,M76&gt;=4600),"1",LOOKUP(Q76,Q$5:AH$5,Q$6:AH$6))</f>
        <v>#N/A</v>
      </c>
      <c r="AD76" s="131" t="e">
        <f>LOOKUP(N76,R$8:W$8,R$9:W$9)</f>
        <v>#N/A</v>
      </c>
    </row>
    <row r="77" spans="1:49" s="123" customFormat="1" x14ac:dyDescent="0.35">
      <c r="A77" s="376"/>
      <c r="B77" s="331"/>
      <c r="C77" s="378" t="e">
        <f>VLOOKUP(B76,Уч!$A$2:$L$16,5,FALSE)</f>
        <v>#N/A</v>
      </c>
      <c r="D77" s="333" t="e">
        <f>VLOOKUP(B76,Уч!$A$2:$L$16,4,FALSE)</f>
        <v>#N/A</v>
      </c>
      <c r="E77" s="285" t="s">
        <v>25</v>
      </c>
      <c r="F77" s="371" t="e">
        <f>VLOOKUP($B76,'110 сб '!$C$17:$I$87,6,FALSE)</f>
        <v>#N/A</v>
      </c>
      <c r="G77" s="369"/>
      <c r="H77" s="369"/>
      <c r="I77" s="371">
        <f>VLOOKUP($B76,'2_р'!$C$17:$I$68,6,FALSE)</f>
        <v>1.2</v>
      </c>
      <c r="J77" s="371">
        <f>VLOOKUP($B76,Дл_р!$C$17:$O$43,12,FALSE)</f>
        <v>0.4</v>
      </c>
      <c r="K77" s="369"/>
      <c r="L77" s="370"/>
      <c r="M77" s="383"/>
      <c r="N77" s="331"/>
      <c r="O77" s="376"/>
      <c r="P77" s="86">
        <f>B76</f>
        <v>38</v>
      </c>
      <c r="Q77" s="131">
        <f>$A76</f>
        <v>0</v>
      </c>
      <c r="R77" s="131">
        <v>2</v>
      </c>
      <c r="S77" s="131">
        <f>$A76</f>
        <v>0</v>
      </c>
      <c r="T77" s="236"/>
      <c r="U77" s="236"/>
      <c r="V77" s="236"/>
      <c r="W77" s="236"/>
      <c r="X77" s="236"/>
      <c r="Y77" s="236"/>
      <c r="Z77" s="253"/>
      <c r="AB77" s="86"/>
      <c r="AC77" s="131"/>
      <c r="AD77" s="131"/>
    </row>
    <row r="78" spans="1:49" s="123" customFormat="1" x14ac:dyDescent="0.35">
      <c r="A78" s="376"/>
      <c r="B78" s="331"/>
      <c r="C78" s="379" t="e">
        <f>VLOOKUP(B76,Уч!$A$2:$L$16,7,FALSE)</f>
        <v>#N/A</v>
      </c>
      <c r="D78" s="372"/>
      <c r="E78" s="285" t="s">
        <v>29</v>
      </c>
      <c r="F78" s="370" t="e">
        <f>VLOOKUP($B76,'110 сб '!$C$17:$I$87,7,FALSE)</f>
        <v>#N/A</v>
      </c>
      <c r="G78" s="370" t="e">
        <f>VLOOKUP($B76,высота!$C$17:$AF$42,30,FALSE)</f>
        <v>#N/A</v>
      </c>
      <c r="H78" s="370" t="e">
        <f>VLOOKUP($B76,ядро!$C$17:$K$43,9,FALSE)</f>
        <v>#N/A</v>
      </c>
      <c r="I78" s="370">
        <f>VLOOKUP($B76,'2_р'!$C$17:$I$68,7,FALSE)</f>
        <v>757</v>
      </c>
      <c r="J78" s="370">
        <f>VLOOKUP($B76,Дл_р!$C$17:$O$43,13,FALSE)</f>
        <v>712</v>
      </c>
      <c r="K78" s="370">
        <f>VLOOKUP($B76,К_р!$C$18:$K$31,9,FALSE)</f>
        <v>693</v>
      </c>
      <c r="L78" s="370"/>
      <c r="M78" s="383"/>
      <c r="N78" s="294"/>
      <c r="O78" s="383"/>
      <c r="P78" s="243">
        <f>B76</f>
        <v>38</v>
      </c>
      <c r="Q78" s="131">
        <f>$A76</f>
        <v>0</v>
      </c>
      <c r="R78" s="131">
        <v>3</v>
      </c>
      <c r="S78" s="131">
        <f>$A76</f>
        <v>0</v>
      </c>
      <c r="T78" s="236"/>
      <c r="U78" s="236"/>
      <c r="V78" s="236"/>
      <c r="W78" s="236"/>
      <c r="X78" s="236"/>
      <c r="Y78" s="236"/>
      <c r="Z78" s="253"/>
      <c r="AB78" s="86"/>
      <c r="AC78" s="131"/>
      <c r="AD78" s="131"/>
    </row>
    <row r="79" spans="1:49" s="123" customFormat="1" x14ac:dyDescent="0.35">
      <c r="A79" s="376"/>
      <c r="B79" s="331"/>
      <c r="C79" s="379" t="e">
        <f>VLOOKUP(B76,Уч!$A$2:$L$16,11,FALSE)</f>
        <v>#N/A</v>
      </c>
      <c r="D79" s="373"/>
      <c r="E79" s="285" t="s">
        <v>125</v>
      </c>
      <c r="F79" s="370" t="e">
        <f>F78</f>
        <v>#N/A</v>
      </c>
      <c r="G79" s="370" t="e">
        <f>F79+G78</f>
        <v>#N/A</v>
      </c>
      <c r="H79" s="370" t="e">
        <f>G79+H78</f>
        <v>#N/A</v>
      </c>
      <c r="I79" s="370" t="e">
        <f>H79+I78</f>
        <v>#N/A</v>
      </c>
      <c r="J79" s="370" t="e">
        <f>I79+J78</f>
        <v>#N/A</v>
      </c>
      <c r="K79" s="370" t="e">
        <f>J79+K78</f>
        <v>#N/A</v>
      </c>
      <c r="L79" s="370"/>
      <c r="M79" s="383"/>
      <c r="N79" s="294"/>
      <c r="O79" s="383"/>
      <c r="P79" s="243">
        <f>B76</f>
        <v>38</v>
      </c>
      <c r="Q79" s="131">
        <f>$A76</f>
        <v>0</v>
      </c>
      <c r="R79" s="131">
        <v>4</v>
      </c>
      <c r="S79" s="131">
        <f>$A76</f>
        <v>0</v>
      </c>
      <c r="T79" s="152" t="e">
        <f t="shared" ref="T79:Z79" si="24">F79</f>
        <v>#N/A</v>
      </c>
      <c r="U79" s="152" t="e">
        <f t="shared" si="24"/>
        <v>#N/A</v>
      </c>
      <c r="V79" s="152" t="e">
        <f t="shared" si="24"/>
        <v>#N/A</v>
      </c>
      <c r="W79" s="152" t="e">
        <f t="shared" si="24"/>
        <v>#N/A</v>
      </c>
      <c r="X79" s="152" t="e">
        <f t="shared" si="24"/>
        <v>#N/A</v>
      </c>
      <c r="Y79" s="152" t="e">
        <f t="shared" si="24"/>
        <v>#N/A</v>
      </c>
      <c r="Z79" s="152">
        <f t="shared" si="24"/>
        <v>0</v>
      </c>
      <c r="AB79" s="86"/>
      <c r="AC79" s="131"/>
      <c r="AD79" s="131"/>
    </row>
    <row r="80" spans="1:49" s="123" customFormat="1" x14ac:dyDescent="0.35">
      <c r="A80" s="324"/>
      <c r="B80" s="385"/>
      <c r="C80" s="325"/>
      <c r="D80" s="386"/>
      <c r="E80" s="381" t="s">
        <v>60</v>
      </c>
      <c r="F80" s="387" t="e">
        <f>RANK(F79,$T$19:$T$90,0)</f>
        <v>#N/A</v>
      </c>
      <c r="G80" s="387" t="e">
        <f>RANK(G79,$U$19:$U$85,0)</f>
        <v>#N/A</v>
      </c>
      <c r="H80" s="387" t="e">
        <f>RANK(H79,$V$19:$V$80,0)</f>
        <v>#N/A</v>
      </c>
      <c r="I80" s="387" t="e">
        <f>RANK(I79,$W$19:$W$79,0)</f>
        <v>#N/A</v>
      </c>
      <c r="J80" s="387" t="e">
        <f>RANK(J79,$X$19:$X$79,0)</f>
        <v>#N/A</v>
      </c>
      <c r="K80" s="387" t="e">
        <f>RANK(K79,$Y$19:$Y$85,0)</f>
        <v>#N/A</v>
      </c>
      <c r="L80" s="387"/>
      <c r="M80" s="384"/>
      <c r="N80" s="388"/>
      <c r="O80" s="384"/>
      <c r="P80" s="243">
        <f>B76</f>
        <v>38</v>
      </c>
      <c r="Q80" s="131">
        <f>$A76</f>
        <v>0</v>
      </c>
      <c r="R80" s="131">
        <v>5</v>
      </c>
      <c r="S80" s="131">
        <f>$A76</f>
        <v>0</v>
      </c>
      <c r="T80" s="236"/>
      <c r="U80" s="236"/>
      <c r="V80" s="236"/>
      <c r="W80" s="236"/>
      <c r="X80" s="236"/>
      <c r="Y80" s="236"/>
      <c r="Z80" s="253"/>
      <c r="AB80" s="86"/>
      <c r="AC80" s="131"/>
      <c r="AD80" s="131"/>
    </row>
    <row r="81" spans="1:30" s="123" customFormat="1" x14ac:dyDescent="0.35">
      <c r="A81" s="376"/>
      <c r="B81" s="331">
        <v>12</v>
      </c>
      <c r="C81" s="378" t="str">
        <f>VLOOKUP(B81,Уч!$A$2:$L$16,2,FALSE)</f>
        <v>Ермолина Елена</v>
      </c>
      <c r="D81" s="333" t="str">
        <f>VLOOKUP(B81,Уч!$A$2:$L$16,3,FALSE)</f>
        <v>03.02.1989</v>
      </c>
      <c r="E81" s="285" t="s">
        <v>18</v>
      </c>
      <c r="F81" s="369">
        <f>VLOOKUP($B81,'110 сб '!$C$17:$I$87,5,FALSE)</f>
        <v>14.99</v>
      </c>
      <c r="G81" s="369" t="s">
        <v>156</v>
      </c>
      <c r="H81" s="369"/>
      <c r="I81" s="369"/>
      <c r="J81" s="369"/>
      <c r="K81" s="369"/>
      <c r="L81" s="370"/>
      <c r="M81" s="383"/>
      <c r="N81" s="331"/>
      <c r="O81" s="376"/>
      <c r="P81" s="86">
        <f>B81</f>
        <v>12</v>
      </c>
      <c r="Q81" s="131">
        <f>$A81</f>
        <v>0</v>
      </c>
      <c r="R81" s="131">
        <v>1</v>
      </c>
      <c r="S81" s="131">
        <f>$A81</f>
        <v>0</v>
      </c>
      <c r="T81" s="236"/>
      <c r="U81" s="236"/>
      <c r="V81" s="236"/>
      <c r="W81" s="236"/>
      <c r="X81" s="236"/>
      <c r="Y81" s="236"/>
      <c r="Z81" s="236"/>
      <c r="AB81" s="86"/>
      <c r="AC81" s="131" t="e">
        <f>IF(AND(Q81&gt;16,M81&gt;=4600),"1",LOOKUP(Q81,Q$5:AH$5,Q$6:AH$6))</f>
        <v>#N/A</v>
      </c>
      <c r="AD81" s="131" t="e">
        <f>LOOKUP(N81,R$8:W$8,R$9:W$9)</f>
        <v>#N/A</v>
      </c>
    </row>
    <row r="82" spans="1:30" s="123" customFormat="1" x14ac:dyDescent="0.35">
      <c r="A82" s="376"/>
      <c r="B82" s="331"/>
      <c r="C82" s="378" t="str">
        <f>VLOOKUP(B81,Уч!$A$2:$L$16,5,FALSE)</f>
        <v xml:space="preserve">Краснодарский край Республика Адыгея </v>
      </c>
      <c r="D82" s="333" t="str">
        <f>VLOOKUP(B81,Уч!$A$2:$L$16,4,FALSE)</f>
        <v>МС</v>
      </c>
      <c r="E82" s="285" t="s">
        <v>25</v>
      </c>
      <c r="F82" s="371">
        <f>VLOOKUP($B81,'110 сб '!$C$17:$I$87,6,FALSE)</f>
        <v>0</v>
      </c>
      <c r="G82" s="369" t="s">
        <v>154</v>
      </c>
      <c r="H82" s="369"/>
      <c r="I82" s="371"/>
      <c r="J82" s="371"/>
      <c r="K82" s="369"/>
      <c r="L82" s="370"/>
      <c r="M82" s="383"/>
      <c r="N82" s="331"/>
      <c r="O82" s="376"/>
      <c r="P82" s="86">
        <f>B81</f>
        <v>12</v>
      </c>
      <c r="Q82" s="131">
        <f>$A81</f>
        <v>0</v>
      </c>
      <c r="R82" s="131">
        <v>2</v>
      </c>
      <c r="S82" s="131">
        <f>$A81</f>
        <v>0</v>
      </c>
      <c r="T82" s="236"/>
      <c r="U82" s="236"/>
      <c r="V82" s="236"/>
      <c r="W82" s="236"/>
      <c r="X82" s="236"/>
      <c r="Y82" s="236"/>
      <c r="Z82" s="236"/>
      <c r="AB82" s="86"/>
      <c r="AC82" s="131"/>
      <c r="AD82" s="131"/>
    </row>
    <row r="83" spans="1:30" s="123" customFormat="1" x14ac:dyDescent="0.35">
      <c r="A83" s="376"/>
      <c r="B83" s="331"/>
      <c r="C83" s="379" t="str">
        <f>VLOOKUP(B81,Уч!$A$2:$L$16,7,FALSE)</f>
        <v>ГБУ КК  "РЦСП по легкой атлетике", ГБУ РА "ЦСП СК РА"</v>
      </c>
      <c r="D83" s="372"/>
      <c r="E83" s="285" t="s">
        <v>29</v>
      </c>
      <c r="F83" s="370">
        <f>VLOOKUP($B81,'110 сб '!$C$17:$I$87,7,FALSE)</f>
        <v>843</v>
      </c>
      <c r="G83" s="370"/>
      <c r="H83" s="370"/>
      <c r="I83" s="370"/>
      <c r="J83" s="370"/>
      <c r="K83" s="370"/>
      <c r="L83" s="370"/>
      <c r="M83" s="383"/>
      <c r="N83" s="294"/>
      <c r="O83" s="383"/>
      <c r="P83" s="243">
        <f>B81</f>
        <v>12</v>
      </c>
      <c r="Q83" s="131">
        <f>$A81</f>
        <v>0</v>
      </c>
      <c r="R83" s="131">
        <v>3</v>
      </c>
      <c r="S83" s="131">
        <f>$A81</f>
        <v>0</v>
      </c>
      <c r="T83" s="236"/>
      <c r="U83" s="236"/>
      <c r="V83" s="236"/>
      <c r="W83" s="236"/>
      <c r="X83" s="236"/>
      <c r="Y83" s="236"/>
      <c r="Z83" s="236"/>
      <c r="AB83" s="86"/>
      <c r="AC83" s="131"/>
      <c r="AD83" s="131"/>
    </row>
    <row r="84" spans="1:30" s="123" customFormat="1" x14ac:dyDescent="0.35">
      <c r="A84" s="376"/>
      <c r="B84" s="331"/>
      <c r="C84" s="379" t="str">
        <f>VLOOKUP(B81,Уч!$A$2:$L$16,11,FALSE)</f>
        <v>Суханов С.М., Парфёнова С.О.</v>
      </c>
      <c r="D84" s="373"/>
      <c r="E84" s="285" t="s">
        <v>125</v>
      </c>
      <c r="F84" s="370">
        <f>F83</f>
        <v>843</v>
      </c>
      <c r="G84" s="370"/>
      <c r="H84" s="370"/>
      <c r="I84" s="370"/>
      <c r="J84" s="370"/>
      <c r="K84" s="370"/>
      <c r="L84" s="370"/>
      <c r="M84" s="383"/>
      <c r="N84" s="294"/>
      <c r="O84" s="383"/>
      <c r="P84" s="243">
        <f>B81</f>
        <v>12</v>
      </c>
      <c r="Q84" s="131">
        <f>$A81</f>
        <v>0</v>
      </c>
      <c r="R84" s="131">
        <v>4</v>
      </c>
      <c r="S84" s="131">
        <f>$A81</f>
        <v>0</v>
      </c>
      <c r="T84" s="152">
        <f t="shared" ref="T84:Z84" si="25">F84</f>
        <v>843</v>
      </c>
      <c r="U84" s="152">
        <f t="shared" si="25"/>
        <v>0</v>
      </c>
      <c r="V84" s="152">
        <f t="shared" si="25"/>
        <v>0</v>
      </c>
      <c r="W84" s="152">
        <f t="shared" si="25"/>
        <v>0</v>
      </c>
      <c r="X84" s="152">
        <f t="shared" si="25"/>
        <v>0</v>
      </c>
      <c r="Y84" s="152">
        <f t="shared" si="25"/>
        <v>0</v>
      </c>
      <c r="Z84" s="152">
        <f t="shared" si="25"/>
        <v>0</v>
      </c>
      <c r="AB84" s="86"/>
      <c r="AC84" s="131"/>
      <c r="AD84" s="131"/>
    </row>
    <row r="85" spans="1:30" s="123" customFormat="1" x14ac:dyDescent="0.35">
      <c r="A85" s="324"/>
      <c r="B85" s="385"/>
      <c r="C85" s="325"/>
      <c r="D85" s="386"/>
      <c r="E85" s="381" t="s">
        <v>60</v>
      </c>
      <c r="F85" s="387" t="e">
        <f>RANK(F84,$T$19:$T$90,0)</f>
        <v>#N/A</v>
      </c>
      <c r="G85" s="387"/>
      <c r="H85" s="387"/>
      <c r="I85" s="387"/>
      <c r="J85" s="387"/>
      <c r="K85" s="387"/>
      <c r="L85" s="387"/>
      <c r="M85" s="384"/>
      <c r="N85" s="388"/>
      <c r="O85" s="384"/>
      <c r="P85" s="243">
        <f>B81</f>
        <v>12</v>
      </c>
      <c r="Q85" s="131">
        <f>$A81</f>
        <v>0</v>
      </c>
      <c r="R85" s="131">
        <v>5</v>
      </c>
      <c r="S85" s="131">
        <f>$A81</f>
        <v>0</v>
      </c>
      <c r="T85" s="236"/>
      <c r="U85" s="236"/>
      <c r="V85" s="236"/>
      <c r="W85" s="236"/>
      <c r="X85" s="236"/>
      <c r="Y85" s="236"/>
      <c r="Z85" s="236"/>
      <c r="AB85" s="86"/>
      <c r="AC85" s="131"/>
      <c r="AD85" s="131"/>
    </row>
    <row r="86" spans="1:30" s="123" customFormat="1" x14ac:dyDescent="0.35">
      <c r="A86" s="376"/>
      <c r="B86" s="331">
        <v>55</v>
      </c>
      <c r="C86" s="378" t="str">
        <f>VLOOKUP(B86,Уч!$A$2:$L$16,2,FALSE)</f>
        <v>Селезнева Анастасия</v>
      </c>
      <c r="D86" s="333" t="str">
        <f>VLOOKUP(B86,Уч!$A$2:$L$16,3,FALSE)</f>
        <v>15.04.1997</v>
      </c>
      <c r="E86" s="285" t="s">
        <v>18</v>
      </c>
      <c r="F86" s="369" t="s">
        <v>153</v>
      </c>
      <c r="G86" s="369"/>
      <c r="H86" s="369"/>
      <c r="I86" s="369"/>
      <c r="J86" s="369"/>
      <c r="K86" s="369"/>
      <c r="L86" s="370"/>
      <c r="M86" s="383"/>
      <c r="N86" s="331"/>
      <c r="O86" s="376"/>
      <c r="P86" s="86">
        <f>B86</f>
        <v>55</v>
      </c>
      <c r="Q86" s="131">
        <f>$A86</f>
        <v>0</v>
      </c>
      <c r="R86" s="131">
        <v>1</v>
      </c>
      <c r="S86" s="131">
        <f>$A86</f>
        <v>0</v>
      </c>
      <c r="T86" s="236"/>
      <c r="U86" s="236"/>
      <c r="V86" s="236"/>
      <c r="W86" s="236"/>
      <c r="X86" s="236"/>
      <c r="Y86" s="236"/>
      <c r="Z86" s="236"/>
      <c r="AC86" s="131" t="e">
        <f>IF(AND(Q86&gt;16,M86&gt;=4600),"1",LOOKUP(Q86,Q$5:AH$5,Q$6:AH$6))</f>
        <v>#N/A</v>
      </c>
      <c r="AD86" s="131" t="e">
        <f>LOOKUP(N86,R$8:W$8,R$9:W$9)</f>
        <v>#N/A</v>
      </c>
    </row>
    <row r="87" spans="1:30" s="123" customFormat="1" x14ac:dyDescent="0.35">
      <c r="A87" s="376"/>
      <c r="B87" s="331"/>
      <c r="C87" s="378" t="str">
        <f>VLOOKUP(B86,Уч!$A$2:$L$16,5,FALSE)</f>
        <v xml:space="preserve">Кемеровская область  </v>
      </c>
      <c r="D87" s="333" t="str">
        <f>VLOOKUP(B86,Уч!$A$2:$L$16,4,FALSE)</f>
        <v>МС</v>
      </c>
      <c r="E87" s="285" t="s">
        <v>25</v>
      </c>
      <c r="F87" s="371"/>
      <c r="G87" s="369"/>
      <c r="H87" s="369"/>
      <c r="I87" s="371"/>
      <c r="J87" s="371"/>
      <c r="K87" s="369"/>
      <c r="L87" s="370"/>
      <c r="M87" s="383"/>
      <c r="N87" s="331"/>
      <c r="O87" s="376"/>
      <c r="P87" s="86">
        <f>B86</f>
        <v>55</v>
      </c>
      <c r="Q87" s="131">
        <f>$A86</f>
        <v>0</v>
      </c>
      <c r="R87" s="131">
        <v>2</v>
      </c>
      <c r="S87" s="131">
        <f>$A86</f>
        <v>0</v>
      </c>
      <c r="T87" s="236"/>
      <c r="U87" s="236"/>
      <c r="V87" s="236"/>
      <c r="W87" s="236"/>
      <c r="X87" s="236"/>
      <c r="Y87" s="236"/>
      <c r="Z87" s="236"/>
      <c r="AC87" s="131"/>
      <c r="AD87" s="131"/>
    </row>
    <row r="88" spans="1:30" s="123" customFormat="1" x14ac:dyDescent="0.35">
      <c r="A88" s="376"/>
      <c r="B88" s="331"/>
      <c r="C88" s="379" t="str">
        <f>VLOOKUP(B86,Уч!$A$2:$L$16,7,FALSE)</f>
        <v>ГБФСУ КО "СШОР по легкой атлетике им. В.А.Савенкова"</v>
      </c>
      <c r="D88" s="372"/>
      <c r="E88" s="285" t="s">
        <v>29</v>
      </c>
      <c r="F88" s="370"/>
      <c r="G88" s="370"/>
      <c r="H88" s="370"/>
      <c r="I88" s="370"/>
      <c r="J88" s="370"/>
      <c r="K88" s="370"/>
      <c r="L88" s="370"/>
      <c r="M88" s="383"/>
      <c r="N88" s="294"/>
      <c r="O88" s="383"/>
      <c r="P88" s="243">
        <f>B86</f>
        <v>55</v>
      </c>
      <c r="Q88" s="131">
        <f>$A86</f>
        <v>0</v>
      </c>
      <c r="R88" s="131">
        <v>3</v>
      </c>
      <c r="S88" s="131">
        <f>$A86</f>
        <v>0</v>
      </c>
      <c r="T88" s="236"/>
      <c r="U88" s="236"/>
      <c r="V88" s="236"/>
      <c r="W88" s="236"/>
      <c r="X88" s="236"/>
      <c r="Y88" s="236"/>
      <c r="Z88" s="236"/>
      <c r="AC88" s="131"/>
      <c r="AD88" s="131"/>
    </row>
    <row r="89" spans="1:30" s="123" customFormat="1" x14ac:dyDescent="0.35">
      <c r="A89" s="376"/>
      <c r="B89" s="331"/>
      <c r="C89" s="379" t="str">
        <f>VLOOKUP(B86,Уч!$A$2:$L$16,11,FALSE)</f>
        <v>Муга О.Б., Грибанова С.Р., Канашевич А.М.</v>
      </c>
      <c r="D89" s="373"/>
      <c r="E89" s="285" t="s">
        <v>125</v>
      </c>
      <c r="F89" s="370"/>
      <c r="G89" s="370"/>
      <c r="H89" s="370"/>
      <c r="I89" s="370"/>
      <c r="J89" s="370"/>
      <c r="K89" s="370"/>
      <c r="L89" s="370"/>
      <c r="M89" s="383"/>
      <c r="N89" s="294"/>
      <c r="O89" s="383"/>
      <c r="P89" s="243">
        <f>B86</f>
        <v>55</v>
      </c>
      <c r="Q89" s="131">
        <f>$A86</f>
        <v>0</v>
      </c>
      <c r="R89" s="131">
        <v>4</v>
      </c>
      <c r="S89" s="131">
        <f>$A86</f>
        <v>0</v>
      </c>
      <c r="T89" s="152">
        <f t="shared" ref="T89:Z89" si="26">F89</f>
        <v>0</v>
      </c>
      <c r="U89" s="152">
        <f t="shared" si="26"/>
        <v>0</v>
      </c>
      <c r="V89" s="152">
        <f t="shared" si="26"/>
        <v>0</v>
      </c>
      <c r="W89" s="152">
        <f t="shared" si="26"/>
        <v>0</v>
      </c>
      <c r="X89" s="152">
        <f t="shared" si="26"/>
        <v>0</v>
      </c>
      <c r="Y89" s="152">
        <f t="shared" si="26"/>
        <v>0</v>
      </c>
      <c r="Z89" s="152">
        <f t="shared" si="26"/>
        <v>0</v>
      </c>
      <c r="AC89" s="131"/>
      <c r="AD89" s="131"/>
    </row>
    <row r="90" spans="1:30" s="123" customFormat="1" x14ac:dyDescent="0.35">
      <c r="A90" s="324"/>
      <c r="B90" s="385"/>
      <c r="C90" s="325"/>
      <c r="D90" s="386"/>
      <c r="E90" s="381" t="s">
        <v>60</v>
      </c>
      <c r="F90" s="387"/>
      <c r="G90" s="387"/>
      <c r="H90" s="387"/>
      <c r="I90" s="387"/>
      <c r="J90" s="387"/>
      <c r="K90" s="387"/>
      <c r="L90" s="387"/>
      <c r="M90" s="384"/>
      <c r="N90" s="388"/>
      <c r="O90" s="384"/>
      <c r="P90" s="243">
        <f>B86</f>
        <v>55</v>
      </c>
      <c r="Q90" s="131">
        <f>$A86</f>
        <v>0</v>
      </c>
      <c r="R90" s="131">
        <v>5</v>
      </c>
      <c r="S90" s="131">
        <f>$A86</f>
        <v>0</v>
      </c>
      <c r="T90" s="236"/>
      <c r="U90" s="236"/>
      <c r="V90" s="236"/>
      <c r="W90" s="236"/>
      <c r="X90" s="236"/>
      <c r="Y90" s="236"/>
      <c r="Z90" s="236"/>
      <c r="AC90" s="131"/>
      <c r="AD90" s="131"/>
    </row>
    <row r="91" spans="1:30" x14ac:dyDescent="0.25">
      <c r="AC91" s="323"/>
    </row>
    <row r="92" spans="1:30" x14ac:dyDescent="0.25">
      <c r="AC92" s="323"/>
    </row>
    <row r="93" spans="1:30" x14ac:dyDescent="0.25">
      <c r="B93" s="60" t="s">
        <v>157</v>
      </c>
      <c r="C93" s="338"/>
      <c r="D93" s="338"/>
      <c r="E93" s="315"/>
      <c r="F93" s="338"/>
      <c r="G93" s="315"/>
      <c r="H93" s="315"/>
      <c r="I93" s="389"/>
      <c r="J93" s="389" t="s">
        <v>158</v>
      </c>
      <c r="K93" s="389"/>
      <c r="L93" s="389"/>
      <c r="M93" s="389"/>
      <c r="N93" s="390"/>
      <c r="AC93" s="323"/>
    </row>
    <row r="94" spans="1:30" x14ac:dyDescent="0.25">
      <c r="B94" s="60"/>
      <c r="C94" s="365"/>
      <c r="D94" s="365"/>
      <c r="E94" s="364"/>
      <c r="F94" s="365"/>
      <c r="G94" s="364"/>
      <c r="H94" s="364"/>
      <c r="I94" s="38"/>
      <c r="J94" s="38"/>
      <c r="N94" s="390"/>
      <c r="AC94" s="323"/>
    </row>
    <row r="95" spans="1:30" x14ac:dyDescent="0.25">
      <c r="B95" s="60" t="s">
        <v>159</v>
      </c>
      <c r="C95" s="365"/>
      <c r="D95" s="365"/>
      <c r="E95" s="364"/>
      <c r="F95" s="365"/>
      <c r="G95" s="364"/>
      <c r="H95" s="364"/>
      <c r="I95" s="389"/>
      <c r="J95" s="389" t="s">
        <v>160</v>
      </c>
      <c r="K95" s="389"/>
      <c r="N95" s="390"/>
      <c r="AC95" s="323"/>
    </row>
    <row r="96" spans="1:30" x14ac:dyDescent="0.25">
      <c r="AC96" s="323"/>
    </row>
    <row r="97" spans="29:29" x14ac:dyDescent="0.25">
      <c r="AC97" s="323"/>
    </row>
  </sheetData>
  <sortState ref="A46:AW80">
    <sortCondition ref="Q46:Q80"/>
  </sortState>
  <mergeCells count="7">
    <mergeCell ref="A8:B8"/>
    <mergeCell ref="A1:O1"/>
    <mergeCell ref="A2:O2"/>
    <mergeCell ref="A3:O3"/>
    <mergeCell ref="A4:O4"/>
    <mergeCell ref="A5:O5"/>
    <mergeCell ref="A6:O6"/>
  </mergeCells>
  <pageMargins left="0.7" right="0.7" top="0.75" bottom="0.75" header="0.3" footer="0.3"/>
  <pageSetup paperSize="9" scale="74" orientation="landscape" verticalDpi="4294967295" r:id="rId1"/>
  <rowBreaks count="1" manualBreakCount="1">
    <brk id="50" max="14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7"/>
  <sheetViews>
    <sheetView view="pageBreakPreview" topLeftCell="A10" zoomScale="60" zoomScaleNormal="80" workbookViewId="0">
      <selection activeCell="I25" sqref="I25"/>
    </sheetView>
  </sheetViews>
  <sheetFormatPr defaultColWidth="9.109375" defaultRowHeight="13.2" outlineLevelCol="1" x14ac:dyDescent="0.25"/>
  <cols>
    <col min="1" max="1" width="7.109375" style="395" customWidth="1"/>
    <col min="2" max="2" width="10.5546875" style="393" customWidth="1"/>
    <col min="3" max="3" width="46.77734375" style="395" customWidth="1"/>
    <col min="4" max="4" width="10.88671875" style="60" customWidth="1"/>
    <col min="5" max="5" width="8.5546875" style="395" customWidth="1"/>
    <col min="6" max="6" width="8" style="395" customWidth="1"/>
    <col min="7" max="7" width="6.5546875" style="393" customWidth="1"/>
    <col min="8" max="8" width="6.5546875" style="395" customWidth="1"/>
    <col min="9" max="9" width="5.88671875" style="393" customWidth="1"/>
    <col min="10" max="10" width="6.5546875" style="393" customWidth="1" outlineLevel="1"/>
    <col min="11" max="11" width="6.5546875" style="38" customWidth="1" outlineLevel="1"/>
    <col min="12" max="12" width="7.44140625" style="38" customWidth="1" outlineLevel="1"/>
    <col min="13" max="14" width="5.33203125" style="38" customWidth="1"/>
    <col min="15" max="15" width="11.21875" style="395" customWidth="1" outlineLevel="1"/>
    <col min="16" max="16" width="7.44140625" style="395" bestFit="1" customWidth="1" outlineLevel="1"/>
    <col min="17" max="17" width="6.77734375" style="395" bestFit="1" customWidth="1" outlineLevel="1"/>
    <col min="18" max="18" width="3.44140625" style="395" bestFit="1" customWidth="1" outlineLevel="1"/>
    <col min="19" max="19" width="5.5546875" style="395" bestFit="1" customWidth="1" outlineLevel="1"/>
    <col min="20" max="20" width="6.109375" style="395" customWidth="1" outlineLevel="1"/>
    <col min="21" max="21" width="6" style="395" customWidth="1" outlineLevel="1"/>
    <col min="22" max="22" width="7.44140625" style="395" customWidth="1" outlineLevel="1"/>
    <col min="23" max="24" width="5.109375" style="395" customWidth="1" outlineLevel="1"/>
    <col min="25" max="25" width="6.44140625" style="395" bestFit="1" customWidth="1"/>
    <col min="26" max="26" width="5.5546875" style="393" bestFit="1" customWidth="1"/>
    <col min="27" max="27" width="6.33203125" style="393" customWidth="1"/>
    <col min="28" max="28" width="5.5546875" style="395" bestFit="1" customWidth="1"/>
    <col min="29" max="29" width="6.6640625" style="393" bestFit="1" customWidth="1"/>
    <col min="30" max="30" width="6.6640625" style="395" bestFit="1" customWidth="1"/>
    <col min="31" max="32" width="5" style="395" bestFit="1" customWidth="1"/>
    <col min="33" max="33" width="5.21875" style="395" bestFit="1" customWidth="1"/>
    <col min="34" max="34" width="3.21875" style="395" bestFit="1" customWidth="1"/>
    <col min="35" max="36" width="3.109375" style="395" bestFit="1" customWidth="1"/>
    <col min="37" max="16384" width="9.109375" style="395"/>
  </cols>
  <sheetData>
    <row r="1" spans="1:49" x14ac:dyDescent="0.25">
      <c r="A1" s="432" t="str">
        <f>Расп!$A$21</f>
        <v>МИНИСТЕРСТВО СПОРТА РОССИЙСКОЙ ФЕДЕРАЦИИ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278"/>
      <c r="Q1" s="60" t="s">
        <v>29</v>
      </c>
      <c r="R1" s="208">
        <v>0</v>
      </c>
      <c r="S1" s="208"/>
      <c r="T1" s="208">
        <v>1600</v>
      </c>
      <c r="U1" s="208">
        <v>2000</v>
      </c>
      <c r="V1" s="208">
        <v>2700</v>
      </c>
      <c r="W1" s="208">
        <v>3300</v>
      </c>
      <c r="X1" s="208">
        <v>3900</v>
      </c>
      <c r="Y1" s="209">
        <v>4500</v>
      </c>
      <c r="Z1" s="89">
        <v>5250</v>
      </c>
      <c r="AA1" s="89">
        <v>6150</v>
      </c>
      <c r="AB1" s="89"/>
      <c r="AC1" s="210" t="s">
        <v>89</v>
      </c>
      <c r="AD1" s="211" t="s">
        <v>90</v>
      </c>
      <c r="AE1" s="210">
        <v>4000</v>
      </c>
      <c r="AF1" s="89"/>
      <c r="AG1" s="89"/>
    </row>
    <row r="2" spans="1:49" x14ac:dyDescent="0.25">
      <c r="A2" s="432" t="str">
        <f>Расп!$A$22</f>
        <v>ВСЕРОССИЙСКАЯ ФЕДЕРАЦИЯ ЛЕГКОЙ АТЛЕТИКИ</v>
      </c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278"/>
      <c r="Q2" s="60" t="s">
        <v>0</v>
      </c>
      <c r="R2" s="212" t="s">
        <v>66</v>
      </c>
      <c r="S2" s="89" t="s">
        <v>73</v>
      </c>
      <c r="T2" s="89" t="s">
        <v>74</v>
      </c>
      <c r="U2" s="89" t="s">
        <v>75</v>
      </c>
      <c r="V2" s="213">
        <v>3</v>
      </c>
      <c r="W2" s="208">
        <v>2</v>
      </c>
      <c r="X2" s="208">
        <v>1</v>
      </c>
      <c r="Y2" s="209" t="s">
        <v>62</v>
      </c>
      <c r="Z2" s="89" t="s">
        <v>61</v>
      </c>
      <c r="AA2" s="89" t="s">
        <v>63</v>
      </c>
      <c r="AB2" s="89"/>
      <c r="AC2" s="395"/>
      <c r="AF2" s="89"/>
      <c r="AG2" s="89"/>
    </row>
    <row r="3" spans="1:49" x14ac:dyDescent="0.25">
      <c r="A3" s="432" t="str">
        <f>Расп!$A$25</f>
        <v>Командный чемпионат России</v>
      </c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278"/>
      <c r="Q3" s="60"/>
      <c r="R3" s="89"/>
      <c r="S3" s="89"/>
      <c r="T3" s="89"/>
      <c r="U3" s="89"/>
      <c r="W3" s="89"/>
      <c r="X3" s="89"/>
      <c r="Y3" s="214" t="s">
        <v>83</v>
      </c>
      <c r="Z3" s="89"/>
      <c r="AA3" s="89"/>
      <c r="AB3" s="89"/>
      <c r="AC3" s="89"/>
      <c r="AD3" s="89"/>
      <c r="AE3" s="89"/>
      <c r="AF3" s="89"/>
      <c r="AG3" s="89"/>
    </row>
    <row r="4" spans="1:49" x14ac:dyDescent="0.25">
      <c r="A4" s="432" t="str">
        <f>Расп!$A$27</f>
        <v>по многоборью</v>
      </c>
      <c r="B4" s="432"/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278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49" ht="15.6" x14ac:dyDescent="0.3">
      <c r="A5" s="433" t="s">
        <v>168</v>
      </c>
      <c r="B5" s="433"/>
      <c r="C5" s="433"/>
      <c r="D5" s="433"/>
      <c r="E5" s="433"/>
      <c r="F5" s="433"/>
      <c r="G5" s="433"/>
      <c r="H5" s="433"/>
      <c r="I5" s="433"/>
      <c r="J5" s="433"/>
      <c r="K5" s="433"/>
      <c r="L5" s="433"/>
      <c r="M5" s="433"/>
      <c r="N5" s="433"/>
      <c r="O5" s="433"/>
      <c r="P5" s="279"/>
      <c r="Q5" s="60" t="s">
        <v>60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395">
        <v>17</v>
      </c>
    </row>
    <row r="6" spans="1:49" ht="15.6" x14ac:dyDescent="0.3">
      <c r="A6" s="433" t="s">
        <v>11</v>
      </c>
      <c r="B6" s="433"/>
      <c r="C6" s="433"/>
      <c r="D6" s="433"/>
      <c r="E6" s="433"/>
      <c r="F6" s="433"/>
      <c r="G6" s="433"/>
      <c r="H6" s="433"/>
      <c r="I6" s="433"/>
      <c r="J6" s="433"/>
      <c r="K6" s="433"/>
      <c r="L6" s="433"/>
      <c r="M6" s="433"/>
      <c r="N6" s="433"/>
      <c r="O6" s="433"/>
      <c r="P6" s="279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395">
        <v>0</v>
      </c>
    </row>
    <row r="7" spans="1:49" x14ac:dyDescent="0.25">
      <c r="C7" s="393"/>
      <c r="E7" s="36"/>
      <c r="F7" s="89"/>
      <c r="G7" s="181"/>
      <c r="H7" s="89"/>
      <c r="I7" s="181"/>
      <c r="J7" s="89"/>
      <c r="K7" s="393"/>
      <c r="L7" s="393"/>
      <c r="M7" s="393"/>
      <c r="N7" s="393"/>
      <c r="O7" s="393"/>
      <c r="P7" s="279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49" x14ac:dyDescent="0.25">
      <c r="A8" s="432" t="s">
        <v>101</v>
      </c>
      <c r="B8" s="432"/>
      <c r="C8" s="393"/>
      <c r="E8" s="36"/>
      <c r="F8" s="89"/>
      <c r="G8" s="181"/>
      <c r="H8" s="89"/>
      <c r="I8" s="181"/>
      <c r="J8" s="282" t="str">
        <f>Расп!A1</f>
        <v>04.09.2019 г.</v>
      </c>
      <c r="K8" s="397" t="s">
        <v>161</v>
      </c>
      <c r="L8" s="393"/>
      <c r="M8" s="393"/>
      <c r="N8" s="282" t="str">
        <f>Расп!A6</f>
        <v>19.05.2019 г.</v>
      </c>
      <c r="O8" s="398" t="s">
        <v>162</v>
      </c>
      <c r="P8" s="280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62</v>
      </c>
      <c r="V8" s="88" t="s">
        <v>61</v>
      </c>
      <c r="W8" s="88" t="s">
        <v>63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49" x14ac:dyDescent="0.25">
      <c r="A9" s="86" t="str">
        <f>Расп!$A$14</f>
        <v>РМ</v>
      </c>
      <c r="B9" s="393">
        <v>7001</v>
      </c>
      <c r="C9" s="393"/>
      <c r="F9" s="89"/>
      <c r="G9" s="181"/>
      <c r="H9" s="89"/>
      <c r="I9" s="181"/>
      <c r="J9" s="192" t="str">
        <f>Расп!A2</f>
        <v>бег с барьерами 100 м</v>
      </c>
      <c r="K9" s="190">
        <f>Расп!B2</f>
        <v>0.40972222222222227</v>
      </c>
      <c r="L9" s="281"/>
      <c r="M9" s="281"/>
      <c r="N9" s="192" t="str">
        <f>Расп!A7</f>
        <v>прыжок в длину</v>
      </c>
      <c r="O9" s="190">
        <f>Расп!B7</f>
        <v>0.41666666666666669</v>
      </c>
      <c r="P9" s="280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49" x14ac:dyDescent="0.25">
      <c r="A10" s="86" t="str">
        <f>Расп!$A$15</f>
        <v>РЕ</v>
      </c>
      <c r="B10" s="393">
        <v>7001</v>
      </c>
      <c r="C10" s="393"/>
      <c r="F10" s="89"/>
      <c r="G10" s="181"/>
      <c r="H10" s="394"/>
      <c r="I10" s="395"/>
      <c r="J10" s="192" t="str">
        <f>Расп!A3</f>
        <v>прыжок в высоту</v>
      </c>
      <c r="K10" s="190">
        <f>Расп!B3</f>
        <v>0.44791666666666669</v>
      </c>
      <c r="L10" s="198"/>
      <c r="M10" s="198"/>
      <c r="N10" s="192" t="str">
        <f>Расп!A8</f>
        <v>метание копья (600 г)</v>
      </c>
      <c r="O10" s="190">
        <v>0.50694444444444442</v>
      </c>
      <c r="P10" s="280" t="s">
        <v>24</v>
      </c>
      <c r="Q10" s="168"/>
      <c r="R10" s="218"/>
      <c r="S10" s="168"/>
      <c r="T10" s="168"/>
      <c r="U10" s="168"/>
      <c r="V10" s="168"/>
      <c r="W10" s="219"/>
      <c r="Z10" s="395"/>
      <c r="AB10" s="60"/>
      <c r="AC10" s="89"/>
      <c r="AD10" s="89"/>
      <c r="AE10" s="89"/>
      <c r="AF10" s="89"/>
      <c r="AG10" s="89"/>
    </row>
    <row r="11" spans="1:49" x14ac:dyDescent="0.25">
      <c r="A11" s="86" t="str">
        <f>Расп!$A$16</f>
        <v>РР</v>
      </c>
      <c r="B11" s="393">
        <v>6765</v>
      </c>
      <c r="C11" s="393"/>
      <c r="G11" s="394"/>
      <c r="I11" s="89"/>
      <c r="J11" s="192" t="str">
        <f>Расп!A4</f>
        <v>толкание ядра</v>
      </c>
      <c r="K11" s="190">
        <f>Расп!B4</f>
        <v>0.70833333333333337</v>
      </c>
      <c r="L11" s="198"/>
      <c r="M11" s="198"/>
      <c r="N11" s="192" t="str">
        <f>Расп!A9</f>
        <v>бег 800 м</v>
      </c>
      <c r="O11" s="190">
        <v>0.71527777777777779</v>
      </c>
      <c r="P11" s="280"/>
      <c r="Q11" s="220" t="s">
        <v>84</v>
      </c>
      <c r="R11" s="221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49" ht="15.6" x14ac:dyDescent="0.3">
      <c r="A12" s="395" t="str">
        <f>Расп!$A$26</f>
        <v>г.Сочи, Адлерский район, стадион "Юность"</v>
      </c>
      <c r="D12" s="44"/>
      <c r="J12" s="192" t="str">
        <f>Расп!A5</f>
        <v>бег 200 м</v>
      </c>
      <c r="K12" s="190">
        <f>Расп!B5</f>
        <v>0.75347222222222221</v>
      </c>
      <c r="L12" s="198"/>
      <c r="M12" s="198"/>
      <c r="N12" s="198"/>
      <c r="O12" s="198"/>
      <c r="P12" s="279"/>
      <c r="Q12" s="168"/>
      <c r="R12" s="168"/>
      <c r="S12" s="168"/>
      <c r="T12" s="168"/>
      <c r="U12" s="168"/>
      <c r="V12" s="168"/>
      <c r="W12" s="219"/>
      <c r="Z12" s="395"/>
      <c r="AA12" s="88"/>
      <c r="AB12" s="86"/>
      <c r="AC12" s="395"/>
    </row>
    <row r="13" spans="1:49" s="98" customFormat="1" ht="30.6" x14ac:dyDescent="0.25">
      <c r="A13" s="193" t="s">
        <v>60</v>
      </c>
      <c r="B13" s="193" t="s">
        <v>113</v>
      </c>
      <c r="C13" s="193" t="s">
        <v>167</v>
      </c>
      <c r="D13" s="193" t="s">
        <v>129</v>
      </c>
      <c r="E13" s="93"/>
      <c r="F13" s="193" t="s">
        <v>104</v>
      </c>
      <c r="G13" s="193" t="s">
        <v>105</v>
      </c>
      <c r="H13" s="193" t="s">
        <v>106</v>
      </c>
      <c r="I13" s="193" t="s">
        <v>123</v>
      </c>
      <c r="J13" s="193" t="s">
        <v>108</v>
      </c>
      <c r="K13" s="193" t="s">
        <v>109</v>
      </c>
      <c r="L13" s="193" t="s">
        <v>124</v>
      </c>
      <c r="M13" s="200" t="s">
        <v>29</v>
      </c>
      <c r="N13" s="200" t="s">
        <v>0</v>
      </c>
      <c r="O13" s="287" t="s">
        <v>120</v>
      </c>
      <c r="P13" s="223" t="s">
        <v>19</v>
      </c>
      <c r="Q13" s="96" t="s">
        <v>91</v>
      </c>
      <c r="R13" s="96" t="s">
        <v>92</v>
      </c>
      <c r="S13" s="96" t="s">
        <v>93</v>
      </c>
      <c r="T13" s="97" t="s">
        <v>76</v>
      </c>
      <c r="U13" s="97" t="s">
        <v>16</v>
      </c>
      <c r="V13" s="97" t="s">
        <v>27</v>
      </c>
      <c r="W13" s="97">
        <v>200</v>
      </c>
      <c r="X13" s="97" t="s">
        <v>26</v>
      </c>
      <c r="Y13" s="224" t="s">
        <v>17</v>
      </c>
      <c r="Z13" s="224">
        <v>800</v>
      </c>
      <c r="AC13" s="225" t="s">
        <v>87</v>
      </c>
      <c r="AD13" s="225" t="s">
        <v>88</v>
      </c>
    </row>
    <row r="14" spans="1:49" s="394" customFormat="1" hidden="1" x14ac:dyDescent="0.25">
      <c r="D14" s="187"/>
      <c r="M14" s="49"/>
      <c r="N14" s="49"/>
      <c r="O14" s="49"/>
      <c r="P14" s="159"/>
      <c r="Q14" s="49"/>
      <c r="R14" s="49"/>
      <c r="S14" s="49"/>
      <c r="T14" s="169"/>
      <c r="U14" s="169"/>
      <c r="V14" s="169"/>
      <c r="W14" s="169"/>
      <c r="X14" s="169"/>
      <c r="Y14" s="169"/>
      <c r="Z14" s="226"/>
      <c r="AC14" s="227"/>
      <c r="AD14" s="131"/>
    </row>
    <row r="15" spans="1:49" s="394" customFormat="1" hidden="1" x14ac:dyDescent="0.25">
      <c r="A15" s="366"/>
      <c r="B15" s="366"/>
      <c r="C15" s="366"/>
      <c r="D15" s="367"/>
      <c r="E15" s="366"/>
      <c r="F15" s="366"/>
      <c r="G15" s="366"/>
      <c r="H15" s="366"/>
      <c r="I15" s="366"/>
      <c r="J15" s="366"/>
      <c r="K15" s="366"/>
      <c r="L15" s="366"/>
      <c r="M15" s="368"/>
      <c r="N15" s="368"/>
      <c r="O15" s="368"/>
      <c r="P15" s="159"/>
      <c r="Q15" s="49"/>
      <c r="R15" s="49"/>
      <c r="S15" s="49"/>
      <c r="T15" s="169"/>
      <c r="U15" s="169"/>
      <c r="V15" s="169"/>
      <c r="W15" s="169"/>
      <c r="X15" s="169"/>
      <c r="Y15" s="169"/>
      <c r="Z15" s="226"/>
      <c r="AC15" s="227"/>
      <c r="AD15" s="131"/>
    </row>
    <row r="16" spans="1:49" s="131" customFormat="1" ht="13.2" customHeight="1" x14ac:dyDescent="0.35">
      <c r="A16" s="375">
        <v>1</v>
      </c>
      <c r="B16" s="331">
        <v>37</v>
      </c>
      <c r="C16" s="377" t="e">
        <f>VLOOKUP(B16,Уч!$A$2:$L$16,2,FALSE)</f>
        <v>#N/A</v>
      </c>
      <c r="D16" s="333" t="e">
        <f>VLOOKUP(B16,Уч!$A$2:$L$16,3,FALSE)</f>
        <v>#N/A</v>
      </c>
      <c r="E16" s="380" t="s">
        <v>18</v>
      </c>
      <c r="F16" s="369" t="e">
        <f>VLOOKUP($B16,'110 сб '!$C$17:$I$87,5,FALSE)</f>
        <v>#N/A</v>
      </c>
      <c r="G16" s="369" t="e">
        <f>VLOOKUP($B16,высота!$C$17:$AF$42,29,FALSE)</f>
        <v>#N/A</v>
      </c>
      <c r="H16" s="369" t="e">
        <f>VLOOKUP($B16,ядро!$C$17:$K$43,8,FALSE)</f>
        <v>#N/A</v>
      </c>
      <c r="I16" s="369">
        <f>VLOOKUP($B16,'2_р'!$C$17:$I$68,5,FALSE)</f>
        <v>24.78</v>
      </c>
      <c r="J16" s="369">
        <f>VLOOKUP($B16,Дл_р!$C$17:$O$43,11,FALSE)</f>
        <v>5.92</v>
      </c>
      <c r="K16" s="369">
        <f>VLOOKUP($B16,К_р!$C$18:$K$31,8,FALSE)</f>
        <v>39.270000000000003</v>
      </c>
      <c r="L16" s="370" t="str">
        <f>VLOOKUP($B16,'8_р'!$C$17:$H$77,5,FALSE)</f>
        <v>2:16.34</v>
      </c>
      <c r="M16" s="382" t="e">
        <f>SUM(F18:L18)</f>
        <v>#N/A</v>
      </c>
      <c r="N16" s="331" t="e">
        <f>LOOKUP(M16,R$1:AA$1,R$2:AA$2)</f>
        <v>#N/A</v>
      </c>
      <c r="O16" s="375" t="e">
        <f>AC16+AD16+5</f>
        <v>#N/A</v>
      </c>
      <c r="P16" s="86">
        <f>B16</f>
        <v>37</v>
      </c>
      <c r="Q16" s="131">
        <f>$A16</f>
        <v>1</v>
      </c>
      <c r="R16" s="131">
        <v>1</v>
      </c>
      <c r="S16" s="131">
        <f>$A16</f>
        <v>1</v>
      </c>
      <c r="T16" s="236"/>
      <c r="U16" s="236"/>
      <c r="V16" s="236"/>
      <c r="W16" s="236"/>
      <c r="X16" s="236"/>
      <c r="Y16" s="236"/>
      <c r="Z16" s="236"/>
      <c r="AA16" s="123"/>
      <c r="AB16" s="86"/>
      <c r="AC16" s="131" t="e">
        <f>IF(AND(Q16&gt;16,M16&gt;=4600),"1",LOOKUP(Q16,Q$5:AH$5,Q$6:AH$6))</f>
        <v>#N/A</v>
      </c>
      <c r="AD16" s="131" t="e">
        <f>LOOKUP(N16,R$8:W$8,R$9:W$9)</f>
        <v>#N/A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</row>
    <row r="17" spans="1:49" s="131" customFormat="1" ht="13.2" customHeight="1" x14ac:dyDescent="0.35">
      <c r="A17" s="376"/>
      <c r="B17" s="331"/>
      <c r="C17" s="378" t="e">
        <f>VLOOKUP(B16,Уч!$A$2:$L$16,5,FALSE)</f>
        <v>#N/A</v>
      </c>
      <c r="D17" s="333" t="e">
        <f>VLOOKUP(B16,Уч!$A$2:$L$16,4,FALSE)</f>
        <v>#N/A</v>
      </c>
      <c r="E17" s="285" t="s">
        <v>25</v>
      </c>
      <c r="F17" s="371" t="e">
        <f>VLOOKUP($B16,'110 сб '!$C$17:$I$87,6,FALSE)</f>
        <v>#N/A</v>
      </c>
      <c r="G17" s="369"/>
      <c r="H17" s="369"/>
      <c r="I17" s="371">
        <f>VLOOKUP($B16,'2_р'!$C$17:$I$68,6,FALSE)</f>
        <v>1.2</v>
      </c>
      <c r="J17" s="371">
        <f>VLOOKUP($B16,Дл_р!$C$17:$O$43,12,FALSE)</f>
        <v>-1</v>
      </c>
      <c r="K17" s="369"/>
      <c r="L17" s="370"/>
      <c r="M17" s="383"/>
      <c r="N17" s="331"/>
      <c r="O17" s="376" t="e">
        <f>CONCATENATE(AC16,"+",AD16,"+",5)</f>
        <v>#N/A</v>
      </c>
      <c r="P17" s="86">
        <f>B16</f>
        <v>37</v>
      </c>
      <c r="Q17" s="131">
        <f>$A16</f>
        <v>1</v>
      </c>
      <c r="R17" s="131">
        <v>2</v>
      </c>
      <c r="S17" s="131">
        <f>$A16</f>
        <v>1</v>
      </c>
      <c r="T17" s="236"/>
      <c r="U17" s="236"/>
      <c r="V17" s="236"/>
      <c r="W17" s="236"/>
      <c r="X17" s="236"/>
      <c r="Y17" s="236"/>
      <c r="Z17" s="236"/>
      <c r="AA17" s="123"/>
      <c r="AB17" s="86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</row>
    <row r="18" spans="1:49" s="131" customFormat="1" ht="13.2" customHeight="1" x14ac:dyDescent="0.35">
      <c r="A18" s="376"/>
      <c r="B18" s="331"/>
      <c r="C18" s="379" t="e">
        <f>VLOOKUP(B16,Уч!$A$2:$L$16,7,FALSE)</f>
        <v>#N/A</v>
      </c>
      <c r="D18" s="372"/>
      <c r="E18" s="285" t="s">
        <v>29</v>
      </c>
      <c r="F18" s="370" t="e">
        <f>VLOOKUP($B16,'110 сб '!$C$17:$I$87,7,FALSE)</f>
        <v>#N/A</v>
      </c>
      <c r="G18" s="370" t="e">
        <f>VLOOKUP($B16,высота!$C$17:$AF$42,30,FALSE)</f>
        <v>#N/A</v>
      </c>
      <c r="H18" s="370" t="e">
        <f>VLOOKUP($B16,ядро!$C$17:$K$43,9,FALSE)</f>
        <v>#N/A</v>
      </c>
      <c r="I18" s="370">
        <f>VLOOKUP($B16,'2_р'!$C$17:$I$68,7,FALSE)</f>
        <v>907</v>
      </c>
      <c r="J18" s="370">
        <f>VLOOKUP($B16,Дл_р!$C$17:$O$43,13,FALSE)</f>
        <v>825</v>
      </c>
      <c r="K18" s="370">
        <f>VLOOKUP($B16,К_р!$C$18:$K$31,9,FALSE)</f>
        <v>653</v>
      </c>
      <c r="L18" s="370">
        <f>VLOOKUP($B16,'8_р'!$C$17:$H$77,6,FALSE)</f>
        <v>874</v>
      </c>
      <c r="M18" s="383"/>
      <c r="N18" s="294"/>
      <c r="O18" s="383"/>
      <c r="P18" s="243">
        <f>B16</f>
        <v>37</v>
      </c>
      <c r="Q18" s="131">
        <f>$A16</f>
        <v>1</v>
      </c>
      <c r="R18" s="131">
        <v>3</v>
      </c>
      <c r="S18" s="131">
        <f>$A16</f>
        <v>1</v>
      </c>
      <c r="T18" s="236"/>
      <c r="U18" s="236"/>
      <c r="V18" s="236"/>
      <c r="W18" s="236"/>
      <c r="X18" s="236"/>
      <c r="Y18" s="236"/>
      <c r="Z18" s="236"/>
      <c r="AA18" s="123"/>
      <c r="AB18" s="86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</row>
    <row r="19" spans="1:49" s="131" customFormat="1" ht="13.2" customHeight="1" x14ac:dyDescent="0.35">
      <c r="A19" s="376"/>
      <c r="B19" s="331"/>
      <c r="C19" s="379" t="e">
        <f>VLOOKUP(B16,Уч!$A$2:$L$16,11,FALSE)</f>
        <v>#N/A</v>
      </c>
      <c r="D19" s="373"/>
      <c r="E19" s="285" t="s">
        <v>125</v>
      </c>
      <c r="F19" s="370" t="e">
        <f>F18</f>
        <v>#N/A</v>
      </c>
      <c r="G19" s="370" t="e">
        <f t="shared" ref="G19:L19" si="0">F19+G18</f>
        <v>#N/A</v>
      </c>
      <c r="H19" s="370" t="e">
        <f t="shared" si="0"/>
        <v>#N/A</v>
      </c>
      <c r="I19" s="370" t="e">
        <f t="shared" si="0"/>
        <v>#N/A</v>
      </c>
      <c r="J19" s="370" t="e">
        <f t="shared" si="0"/>
        <v>#N/A</v>
      </c>
      <c r="K19" s="370" t="e">
        <f t="shared" si="0"/>
        <v>#N/A</v>
      </c>
      <c r="L19" s="370" t="e">
        <f t="shared" si="0"/>
        <v>#N/A</v>
      </c>
      <c r="M19" s="383"/>
      <c r="N19" s="294"/>
      <c r="O19" s="383"/>
      <c r="P19" s="243">
        <f>B16</f>
        <v>37</v>
      </c>
      <c r="Q19" s="131">
        <f>$A16</f>
        <v>1</v>
      </c>
      <c r="R19" s="131">
        <v>4</v>
      </c>
      <c r="S19" s="131">
        <f>$A16</f>
        <v>1</v>
      </c>
      <c r="T19" s="152" t="e">
        <f t="shared" ref="T19:Z19" si="1">F19</f>
        <v>#N/A</v>
      </c>
      <c r="U19" s="152" t="e">
        <f t="shared" si="1"/>
        <v>#N/A</v>
      </c>
      <c r="V19" s="152" t="e">
        <f t="shared" si="1"/>
        <v>#N/A</v>
      </c>
      <c r="W19" s="152" t="e">
        <f t="shared" si="1"/>
        <v>#N/A</v>
      </c>
      <c r="X19" s="152" t="e">
        <f t="shared" si="1"/>
        <v>#N/A</v>
      </c>
      <c r="Y19" s="152" t="e">
        <f t="shared" si="1"/>
        <v>#N/A</v>
      </c>
      <c r="Z19" s="152" t="e">
        <f t="shared" si="1"/>
        <v>#N/A</v>
      </c>
      <c r="AA19" s="123"/>
      <c r="AB19" s="86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</row>
    <row r="20" spans="1:49" s="131" customFormat="1" ht="13.2" customHeight="1" x14ac:dyDescent="0.35">
      <c r="A20" s="324"/>
      <c r="B20" s="385"/>
      <c r="C20" s="325"/>
      <c r="D20" s="386"/>
      <c r="E20" s="381" t="s">
        <v>60</v>
      </c>
      <c r="F20" s="387" t="e">
        <f>RANK(F19,$T$19:$T$60,0)</f>
        <v>#N/A</v>
      </c>
      <c r="G20" s="387" t="e">
        <f>RANK(G19,$U$19:$U$60,0)</f>
        <v>#N/A</v>
      </c>
      <c r="H20" s="387" t="e">
        <f>RANK(H19,$V$19:$V$60,0)</f>
        <v>#N/A</v>
      </c>
      <c r="I20" s="387" t="e">
        <f>RANK(I19,$W$19:$W$60,0)</f>
        <v>#N/A</v>
      </c>
      <c r="J20" s="387" t="e">
        <f>RANK(J19,$X$19:$X$60,0)</f>
        <v>#N/A</v>
      </c>
      <c r="K20" s="387" t="e">
        <f>RANK(K19,$Y$19:$Y$60,0)</f>
        <v>#N/A</v>
      </c>
      <c r="L20" s="387" t="e">
        <f>RANK(L19,$Z$19:$Z$60,0)</f>
        <v>#N/A</v>
      </c>
      <c r="M20" s="384"/>
      <c r="N20" s="388"/>
      <c r="O20" s="384"/>
      <c r="P20" s="243">
        <f>B16</f>
        <v>37</v>
      </c>
      <c r="Q20" s="131">
        <f>$A16</f>
        <v>1</v>
      </c>
      <c r="R20" s="131">
        <v>5</v>
      </c>
      <c r="S20" s="131">
        <f>$A16</f>
        <v>1</v>
      </c>
      <c r="T20" s="236"/>
      <c r="U20" s="236"/>
      <c r="V20" s="236"/>
      <c r="W20" s="236"/>
      <c r="X20" s="236"/>
      <c r="Y20" s="236"/>
      <c r="Z20" s="236"/>
      <c r="AA20" s="123"/>
      <c r="AB20" s="86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</row>
    <row r="21" spans="1:49" s="131" customFormat="1" ht="13.2" customHeight="1" x14ac:dyDescent="0.35">
      <c r="A21" s="376">
        <v>2</v>
      </c>
      <c r="B21" s="331">
        <v>21</v>
      </c>
      <c r="C21" s="378" t="e">
        <f>VLOOKUP(B21,Уч!$A$2:$L$16,2,FALSE)</f>
        <v>#N/A</v>
      </c>
      <c r="D21" s="333" t="e">
        <f>VLOOKUP(B21,Уч!$A$2:$L$16,3,FALSE)</f>
        <v>#N/A</v>
      </c>
      <c r="E21" s="285" t="s">
        <v>18</v>
      </c>
      <c r="F21" s="369" t="e">
        <f>VLOOKUP($B21,'110 сб '!$C$17:$I$87,5,FALSE)</f>
        <v>#N/A</v>
      </c>
      <c r="G21" s="369" t="e">
        <f>VLOOKUP($B21,высота!$C$17:$AF$42,29,FALSE)</f>
        <v>#N/A</v>
      </c>
      <c r="H21" s="369" t="e">
        <f>VLOOKUP($B21,ядро!$C$17:$K$43,8,FALSE)</f>
        <v>#N/A</v>
      </c>
      <c r="I21" s="369">
        <f>VLOOKUP($B21,'2_р'!$C$17:$I$68,5,FALSE)</f>
        <v>25.4</v>
      </c>
      <c r="J21" s="369">
        <f>VLOOKUP($B21,Дл_р!$C$17:$O$43,11,FALSE)</f>
        <v>5.7</v>
      </c>
      <c r="K21" s="369">
        <f>VLOOKUP($B21,К_р!$C$18:$K$31,8,FALSE)</f>
        <v>32.57</v>
      </c>
      <c r="L21" s="370" t="str">
        <f>VLOOKUP($B21,'8_р'!$C$17:$H$77,5,FALSE)</f>
        <v>2:16.94</v>
      </c>
      <c r="M21" s="383" t="e">
        <f>SUM(F23:L23)</f>
        <v>#N/A</v>
      </c>
      <c r="N21" s="331" t="e">
        <f>LOOKUP(M21,R$1:AA$1,R$2:AA$2)</f>
        <v>#N/A</v>
      </c>
      <c r="O21" s="376" t="e">
        <f>AC21+AD21+5</f>
        <v>#N/A</v>
      </c>
      <c r="P21" s="86">
        <f>B21</f>
        <v>21</v>
      </c>
      <c r="Q21" s="131">
        <f>$A21</f>
        <v>2</v>
      </c>
      <c r="R21" s="131">
        <v>1</v>
      </c>
      <c r="S21" s="131">
        <f>$A21</f>
        <v>2</v>
      </c>
      <c r="T21" s="236"/>
      <c r="U21" s="236"/>
      <c r="V21" s="236"/>
      <c r="W21" s="236"/>
      <c r="X21" s="236"/>
      <c r="Y21" s="236"/>
      <c r="Z21" s="236"/>
      <c r="AA21" s="123"/>
      <c r="AB21" s="86"/>
      <c r="AC21" s="131" t="e">
        <f>IF(AND(Q21&gt;16,M21&gt;=4600),"1",LOOKUP(Q21,Q$5:AH$5,Q$6:AH$6))</f>
        <v>#N/A</v>
      </c>
      <c r="AD21" s="131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</row>
    <row r="22" spans="1:49" s="131" customFormat="1" ht="13.2" customHeight="1" x14ac:dyDescent="0.35">
      <c r="A22" s="376"/>
      <c r="B22" s="331"/>
      <c r="C22" s="378" t="e">
        <f>VLOOKUP(B21,Уч!$A$2:$L$16,5,FALSE)</f>
        <v>#N/A</v>
      </c>
      <c r="D22" s="333" t="e">
        <f>VLOOKUP(B21,Уч!$A$2:$L$16,4,FALSE)</f>
        <v>#N/A</v>
      </c>
      <c r="E22" s="285" t="s">
        <v>25</v>
      </c>
      <c r="F22" s="371" t="e">
        <f>VLOOKUP($B21,'110 сб '!$C$17:$I$87,6,FALSE)</f>
        <v>#N/A</v>
      </c>
      <c r="G22" s="369"/>
      <c r="H22" s="369"/>
      <c r="I22" s="371">
        <f>VLOOKUP($B21,'2_р'!$C$17:$I$68,6,FALSE)</f>
        <v>1.2</v>
      </c>
      <c r="J22" s="371">
        <f>VLOOKUP($B21,Дл_р!$C$17:$O$43,12,FALSE)</f>
        <v>0.3</v>
      </c>
      <c r="K22" s="369"/>
      <c r="L22" s="370"/>
      <c r="M22" s="383"/>
      <c r="N22" s="331"/>
      <c r="O22" s="376" t="e">
        <f>CONCATENATE(AC21,"+",AD21,"+",5)</f>
        <v>#N/A</v>
      </c>
      <c r="P22" s="86">
        <f>B21</f>
        <v>21</v>
      </c>
      <c r="Q22" s="131">
        <f>$A21</f>
        <v>2</v>
      </c>
      <c r="R22" s="131">
        <v>2</v>
      </c>
      <c r="S22" s="131">
        <f>$A21</f>
        <v>2</v>
      </c>
      <c r="T22" s="236"/>
      <c r="U22" s="236"/>
      <c r="V22" s="236"/>
      <c r="W22" s="236"/>
      <c r="X22" s="236"/>
      <c r="Y22" s="236"/>
      <c r="Z22" s="236"/>
      <c r="AA22" s="123"/>
      <c r="AB22" s="86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</row>
    <row r="23" spans="1:49" s="123" customFormat="1" ht="13.2" customHeight="1" x14ac:dyDescent="0.35">
      <c r="A23" s="376"/>
      <c r="B23" s="331"/>
      <c r="C23" s="379" t="e">
        <f>VLOOKUP(B21,Уч!$A$2:$L$16,7,FALSE)</f>
        <v>#N/A</v>
      </c>
      <c r="D23" s="372"/>
      <c r="E23" s="285" t="s">
        <v>29</v>
      </c>
      <c r="F23" s="370" t="e">
        <f>VLOOKUP($B21,'110 сб '!$C$17:$I$87,7,FALSE)</f>
        <v>#N/A</v>
      </c>
      <c r="G23" s="370" t="e">
        <f>VLOOKUP($B21,высота!$C$17:$AF$42,30,FALSE)</f>
        <v>#N/A</v>
      </c>
      <c r="H23" s="370" t="e">
        <f>VLOOKUP($B21,ядро!$C$17:$K$43,9,FALSE)</f>
        <v>#N/A</v>
      </c>
      <c r="I23" s="370">
        <f>VLOOKUP($B21,'2_р'!$C$17:$I$68,7,FALSE)</f>
        <v>850</v>
      </c>
      <c r="J23" s="370">
        <f>VLOOKUP($B21,Дл_р!$C$17:$O$43,13,FALSE)</f>
        <v>759</v>
      </c>
      <c r="K23" s="370">
        <f>VLOOKUP($B21,К_р!$C$18:$K$31,9,FALSE)</f>
        <v>525</v>
      </c>
      <c r="L23" s="370">
        <f>VLOOKUP($B21,'8_р'!$C$17:$H$77,6,FALSE)</f>
        <v>866</v>
      </c>
      <c r="M23" s="383"/>
      <c r="N23" s="294"/>
      <c r="O23" s="383"/>
      <c r="P23" s="243">
        <f>B21</f>
        <v>21</v>
      </c>
      <c r="Q23" s="131">
        <f>$A21</f>
        <v>2</v>
      </c>
      <c r="R23" s="131">
        <v>3</v>
      </c>
      <c r="S23" s="131">
        <f>$A21</f>
        <v>2</v>
      </c>
      <c r="T23" s="236"/>
      <c r="U23" s="236"/>
      <c r="V23" s="236"/>
      <c r="W23" s="236"/>
      <c r="X23" s="236"/>
      <c r="Y23" s="236"/>
      <c r="Z23" s="236"/>
      <c r="AB23" s="86"/>
      <c r="AC23" s="131"/>
      <c r="AD23" s="131"/>
    </row>
    <row r="24" spans="1:49" s="123" customFormat="1" ht="13.2" customHeight="1" x14ac:dyDescent="0.35">
      <c r="A24" s="376"/>
      <c r="B24" s="331"/>
      <c r="C24" s="379" t="e">
        <f>VLOOKUP(B21,Уч!$A$2:$L$16,11,FALSE)</f>
        <v>#N/A</v>
      </c>
      <c r="D24" s="373"/>
      <c r="E24" s="285" t="s">
        <v>125</v>
      </c>
      <c r="F24" s="370" t="e">
        <f>F23</f>
        <v>#N/A</v>
      </c>
      <c r="G24" s="370" t="e">
        <f t="shared" ref="G24:L24" si="2">F24+G23</f>
        <v>#N/A</v>
      </c>
      <c r="H24" s="370" t="e">
        <f t="shared" si="2"/>
        <v>#N/A</v>
      </c>
      <c r="I24" s="370" t="e">
        <f t="shared" si="2"/>
        <v>#N/A</v>
      </c>
      <c r="J24" s="370" t="e">
        <f t="shared" si="2"/>
        <v>#N/A</v>
      </c>
      <c r="K24" s="370" t="e">
        <f t="shared" si="2"/>
        <v>#N/A</v>
      </c>
      <c r="L24" s="370" t="e">
        <f t="shared" si="2"/>
        <v>#N/A</v>
      </c>
      <c r="M24" s="383"/>
      <c r="N24" s="294"/>
      <c r="O24" s="383"/>
      <c r="P24" s="243">
        <f>B21</f>
        <v>21</v>
      </c>
      <c r="Q24" s="131">
        <f>$A21</f>
        <v>2</v>
      </c>
      <c r="R24" s="131">
        <v>4</v>
      </c>
      <c r="S24" s="131">
        <f>$A21</f>
        <v>2</v>
      </c>
      <c r="T24" s="152" t="e">
        <f t="shared" ref="T24:Z24" si="3">F24</f>
        <v>#N/A</v>
      </c>
      <c r="U24" s="152" t="e">
        <f t="shared" si="3"/>
        <v>#N/A</v>
      </c>
      <c r="V24" s="152" t="e">
        <f t="shared" si="3"/>
        <v>#N/A</v>
      </c>
      <c r="W24" s="152" t="e">
        <f t="shared" si="3"/>
        <v>#N/A</v>
      </c>
      <c r="X24" s="152" t="e">
        <f t="shared" si="3"/>
        <v>#N/A</v>
      </c>
      <c r="Y24" s="152" t="e">
        <f t="shared" si="3"/>
        <v>#N/A</v>
      </c>
      <c r="Z24" s="152" t="e">
        <f t="shared" si="3"/>
        <v>#N/A</v>
      </c>
      <c r="AB24" s="86"/>
      <c r="AC24" s="131"/>
      <c r="AD24" s="131"/>
    </row>
    <row r="25" spans="1:49" s="123" customFormat="1" ht="13.2" customHeight="1" x14ac:dyDescent="0.35">
      <c r="A25" s="324"/>
      <c r="B25" s="385"/>
      <c r="C25" s="325"/>
      <c r="D25" s="386"/>
      <c r="E25" s="381" t="s">
        <v>60</v>
      </c>
      <c r="F25" s="387" t="e">
        <f>RANK(F24,$T$19:$T$60,0)</f>
        <v>#N/A</v>
      </c>
      <c r="G25" s="387" t="e">
        <f>RANK(G24,$U$19:$U$60,0)</f>
        <v>#N/A</v>
      </c>
      <c r="H25" s="387" t="e">
        <f>RANK(H24,$V$19:$V$60,0)</f>
        <v>#N/A</v>
      </c>
      <c r="I25" s="387" t="e">
        <f>RANK(I24,$W$19:$W$60,0)</f>
        <v>#N/A</v>
      </c>
      <c r="J25" s="387" t="e">
        <f>RANK(J24,$X$19:$X$60,0)</f>
        <v>#N/A</v>
      </c>
      <c r="K25" s="387" t="e">
        <f>RANK(K24,$Y$19:$Y$60,0)</f>
        <v>#N/A</v>
      </c>
      <c r="L25" s="387" t="e">
        <f>RANK(L24,$Z$19:$Z$60,0)</f>
        <v>#N/A</v>
      </c>
      <c r="M25" s="384"/>
      <c r="N25" s="388"/>
      <c r="O25" s="384"/>
      <c r="P25" s="243">
        <f>B21</f>
        <v>21</v>
      </c>
      <c r="Q25" s="131">
        <f>$A21</f>
        <v>2</v>
      </c>
      <c r="R25" s="131">
        <v>5</v>
      </c>
      <c r="S25" s="131">
        <f>$A21</f>
        <v>2</v>
      </c>
      <c r="T25" s="236"/>
      <c r="U25" s="236"/>
      <c r="V25" s="236"/>
      <c r="W25" s="236"/>
      <c r="X25" s="236"/>
      <c r="Y25" s="236"/>
      <c r="Z25" s="236"/>
      <c r="AB25" s="86"/>
      <c r="AC25" s="131"/>
      <c r="AD25" s="131"/>
    </row>
    <row r="26" spans="1:49" s="123" customFormat="1" ht="13.2" customHeight="1" x14ac:dyDescent="0.35">
      <c r="A26" s="376">
        <v>3</v>
      </c>
      <c r="B26" s="331">
        <v>27</v>
      </c>
      <c r="C26" s="378" t="e">
        <f>VLOOKUP(B26,Уч!$A$2:$L$16,2,FALSE)</f>
        <v>#N/A</v>
      </c>
      <c r="D26" s="333" t="e">
        <f>VLOOKUP(B26,Уч!$A$2:$L$16,3,FALSE)</f>
        <v>#N/A</v>
      </c>
      <c r="E26" s="285" t="s">
        <v>18</v>
      </c>
      <c r="F26" s="369" t="e">
        <f>VLOOKUP($B26,'110 сб '!$C$17:$I$87,5,FALSE)</f>
        <v>#N/A</v>
      </c>
      <c r="G26" s="369" t="e">
        <f>VLOOKUP($B26,высота!$C$17:$AF$42,29,FALSE)</f>
        <v>#N/A</v>
      </c>
      <c r="H26" s="369" t="e">
        <f>VLOOKUP($B26,ядро!$C$17:$K$43,8,FALSE)</f>
        <v>#N/A</v>
      </c>
      <c r="I26" s="369">
        <f>VLOOKUP($B26,'2_р'!$C$17:$I$68,5,FALSE)</f>
        <v>26.2</v>
      </c>
      <c r="J26" s="369">
        <f>VLOOKUP($B26,Дл_р!$C$17:$O$43,11,FALSE)</f>
        <v>5.61</v>
      </c>
      <c r="K26" s="369">
        <f>VLOOKUP($B26,К_р!$C$18:$K$31,8,FALSE)</f>
        <v>39.369999999999997</v>
      </c>
      <c r="L26" s="370" t="str">
        <f>VLOOKUP($B26,'8_р'!$C$17:$H$77,5,FALSE)</f>
        <v>2:25.05</v>
      </c>
      <c r="M26" s="383" t="e">
        <f>SUM(F28:L28)</f>
        <v>#N/A</v>
      </c>
      <c r="N26" s="331" t="e">
        <f>LOOKUP(M26,R$1:AA$1,R$2:AA$2)</f>
        <v>#N/A</v>
      </c>
      <c r="O26" s="376" t="e">
        <f>AC26+AD26+5</f>
        <v>#N/A</v>
      </c>
      <c r="P26" s="86">
        <f>B26</f>
        <v>27</v>
      </c>
      <c r="Q26" s="131">
        <f>$A26</f>
        <v>3</v>
      </c>
      <c r="R26" s="131">
        <v>1</v>
      </c>
      <c r="S26" s="131">
        <f>$A26</f>
        <v>3</v>
      </c>
      <c r="T26" s="236"/>
      <c r="U26" s="236"/>
      <c r="V26" s="236"/>
      <c r="W26" s="236"/>
      <c r="X26" s="236"/>
      <c r="Y26" s="236"/>
      <c r="Z26" s="236"/>
      <c r="AB26" s="86"/>
      <c r="AC26" s="131" t="e">
        <f>IF(AND(Q26&gt;16,M26&gt;=4600),"1",LOOKUP(Q26,Q$5:AH$5,Q$6:AH$6))</f>
        <v>#N/A</v>
      </c>
      <c r="AD26" s="131" t="e">
        <f>LOOKUP(N26,R$8:W$8,R$9:W$9)</f>
        <v>#N/A</v>
      </c>
    </row>
    <row r="27" spans="1:49" s="123" customFormat="1" ht="13.2" customHeight="1" x14ac:dyDescent="0.35">
      <c r="A27" s="376"/>
      <c r="B27" s="331"/>
      <c r="C27" s="378" t="e">
        <f>VLOOKUP(B26,Уч!$A$2:$L$16,5,FALSE)</f>
        <v>#N/A</v>
      </c>
      <c r="D27" s="333" t="e">
        <f>VLOOKUP(B26,Уч!$A$2:$L$16,4,FALSE)</f>
        <v>#N/A</v>
      </c>
      <c r="E27" s="285" t="s">
        <v>25</v>
      </c>
      <c r="F27" s="371" t="e">
        <f>VLOOKUP($B26,'110 сб '!$C$17:$I$87,6,FALSE)</f>
        <v>#N/A</v>
      </c>
      <c r="G27" s="369"/>
      <c r="H27" s="369"/>
      <c r="I27" s="371">
        <f>VLOOKUP($B26,'2_р'!$C$17:$I$68,6,FALSE)</f>
        <v>1.2</v>
      </c>
      <c r="J27" s="371">
        <f>VLOOKUP($B26,Дл_р!$C$17:$O$43,12,FALSE)</f>
        <v>0</v>
      </c>
      <c r="K27" s="369"/>
      <c r="L27" s="370"/>
      <c r="M27" s="383"/>
      <c r="N27" s="331"/>
      <c r="O27" s="376" t="e">
        <f>CONCATENATE(AC26,"+",AD26,"+",5)</f>
        <v>#N/A</v>
      </c>
      <c r="P27" s="86">
        <f>B26</f>
        <v>27</v>
      </c>
      <c r="Q27" s="131">
        <f>$A26</f>
        <v>3</v>
      </c>
      <c r="R27" s="131">
        <v>2</v>
      </c>
      <c r="S27" s="131">
        <f>$A26</f>
        <v>3</v>
      </c>
      <c r="T27" s="236"/>
      <c r="U27" s="236"/>
      <c r="V27" s="236"/>
      <c r="W27" s="236"/>
      <c r="X27" s="236"/>
      <c r="Y27" s="236"/>
      <c r="Z27" s="236"/>
      <c r="AB27" s="86"/>
      <c r="AC27" s="131"/>
      <c r="AD27" s="131"/>
    </row>
    <row r="28" spans="1:49" s="123" customFormat="1" ht="13.2" customHeight="1" x14ac:dyDescent="0.35">
      <c r="A28" s="376"/>
      <c r="B28" s="331"/>
      <c r="C28" s="402" t="e">
        <f>VLOOKUP(B26,Уч!$A$2:$L$16,7,FALSE)</f>
        <v>#N/A</v>
      </c>
      <c r="D28" s="372"/>
      <c r="E28" s="285" t="s">
        <v>29</v>
      </c>
      <c r="F28" s="370" t="e">
        <f>VLOOKUP($B26,'110 сб '!$C$17:$I$87,7,FALSE)</f>
        <v>#N/A</v>
      </c>
      <c r="G28" s="370" t="e">
        <f>VLOOKUP($B26,высота!$C$17:$AF$42,30,FALSE)</f>
        <v>#N/A</v>
      </c>
      <c r="H28" s="370" t="e">
        <f>VLOOKUP($B26,ядро!$C$17:$K$43,9,FALSE)</f>
        <v>#N/A</v>
      </c>
      <c r="I28" s="370">
        <f>VLOOKUP($B26,'2_р'!$C$17:$I$68,7,FALSE)</f>
        <v>780</v>
      </c>
      <c r="J28" s="370">
        <f>VLOOKUP($B26,Дл_р!$C$17:$O$43,13,FALSE)</f>
        <v>732</v>
      </c>
      <c r="K28" s="370">
        <f>VLOOKUP($B26,К_р!$C$18:$K$31,9,FALSE)</f>
        <v>655</v>
      </c>
      <c r="L28" s="370">
        <f>VLOOKUP($B26,'8_р'!$C$17:$H$77,6,FALSE)</f>
        <v>756</v>
      </c>
      <c r="M28" s="383"/>
      <c r="N28" s="294"/>
      <c r="O28" s="383"/>
      <c r="P28" s="243">
        <f>B26</f>
        <v>27</v>
      </c>
      <c r="Q28" s="131">
        <f>$A26</f>
        <v>3</v>
      </c>
      <c r="R28" s="131">
        <v>3</v>
      </c>
      <c r="S28" s="131">
        <f>$A26</f>
        <v>3</v>
      </c>
      <c r="T28" s="236"/>
      <c r="U28" s="236"/>
      <c r="V28" s="236"/>
      <c r="W28" s="236"/>
      <c r="X28" s="236"/>
      <c r="Y28" s="236"/>
      <c r="Z28" s="236"/>
      <c r="AB28" s="86"/>
      <c r="AC28" s="131"/>
      <c r="AD28" s="131"/>
    </row>
    <row r="29" spans="1:49" s="123" customFormat="1" ht="13.2" customHeight="1" x14ac:dyDescent="0.35">
      <c r="A29" s="376"/>
      <c r="B29" s="331"/>
      <c r="C29" s="402"/>
      <c r="D29" s="373"/>
      <c r="E29" s="285" t="s">
        <v>125</v>
      </c>
      <c r="F29" s="370" t="e">
        <f>F28</f>
        <v>#N/A</v>
      </c>
      <c r="G29" s="370" t="e">
        <f t="shared" ref="G29:L29" si="4">F29+G28</f>
        <v>#N/A</v>
      </c>
      <c r="H29" s="370" t="e">
        <f t="shared" si="4"/>
        <v>#N/A</v>
      </c>
      <c r="I29" s="370" t="e">
        <f t="shared" si="4"/>
        <v>#N/A</v>
      </c>
      <c r="J29" s="370" t="e">
        <f t="shared" si="4"/>
        <v>#N/A</v>
      </c>
      <c r="K29" s="370" t="e">
        <f t="shared" si="4"/>
        <v>#N/A</v>
      </c>
      <c r="L29" s="370" t="e">
        <f t="shared" si="4"/>
        <v>#N/A</v>
      </c>
      <c r="M29" s="383"/>
      <c r="N29" s="294"/>
      <c r="O29" s="383"/>
      <c r="P29" s="243">
        <f>B26</f>
        <v>27</v>
      </c>
      <c r="Q29" s="131">
        <f>$A26</f>
        <v>3</v>
      </c>
      <c r="R29" s="131">
        <v>4</v>
      </c>
      <c r="S29" s="131">
        <f>$A26</f>
        <v>3</v>
      </c>
      <c r="T29" s="152" t="e">
        <f t="shared" ref="T29:Z29" si="5">F29</f>
        <v>#N/A</v>
      </c>
      <c r="U29" s="152" t="e">
        <f t="shared" si="5"/>
        <v>#N/A</v>
      </c>
      <c r="V29" s="152" t="e">
        <f t="shared" si="5"/>
        <v>#N/A</v>
      </c>
      <c r="W29" s="152" t="e">
        <f t="shared" si="5"/>
        <v>#N/A</v>
      </c>
      <c r="X29" s="152" t="e">
        <f t="shared" si="5"/>
        <v>#N/A</v>
      </c>
      <c r="Y29" s="152" t="e">
        <f t="shared" si="5"/>
        <v>#N/A</v>
      </c>
      <c r="Z29" s="152" t="e">
        <f t="shared" si="5"/>
        <v>#N/A</v>
      </c>
      <c r="AB29" s="86"/>
      <c r="AC29" s="131"/>
      <c r="AD29" s="131"/>
    </row>
    <row r="30" spans="1:49" s="123" customFormat="1" ht="13.2" customHeight="1" x14ac:dyDescent="0.35">
      <c r="A30" s="324"/>
      <c r="B30" s="385"/>
      <c r="C30" s="325" t="e">
        <f>VLOOKUP(B26,Уч!$A$2:$L$16,11,FALSE)</f>
        <v>#N/A</v>
      </c>
      <c r="D30" s="386"/>
      <c r="E30" s="381" t="s">
        <v>60</v>
      </c>
      <c r="F30" s="387" t="e">
        <f>RANK(F29,$T$19:$T$60,0)</f>
        <v>#N/A</v>
      </c>
      <c r="G30" s="387" t="e">
        <f>RANK(G29,$U$19:$U$60,0)</f>
        <v>#N/A</v>
      </c>
      <c r="H30" s="387" t="e">
        <f>RANK(H29,$V$19:$V$60,0)</f>
        <v>#N/A</v>
      </c>
      <c r="I30" s="387" t="e">
        <f>RANK(I29,$W$19:$W$60,0)</f>
        <v>#N/A</v>
      </c>
      <c r="J30" s="387" t="e">
        <f>RANK(J29,$X$19:$X$60,0)</f>
        <v>#N/A</v>
      </c>
      <c r="K30" s="387" t="e">
        <f>RANK(K29,$Y$19:$Y$60,0)</f>
        <v>#N/A</v>
      </c>
      <c r="L30" s="387" t="e">
        <f>RANK(L29,$Z$19:$Z$60,0)</f>
        <v>#N/A</v>
      </c>
      <c r="M30" s="384"/>
      <c r="N30" s="388"/>
      <c r="O30" s="384"/>
      <c r="P30" s="243">
        <f>B26</f>
        <v>27</v>
      </c>
      <c r="Q30" s="131">
        <f>$A26</f>
        <v>3</v>
      </c>
      <c r="R30" s="131">
        <v>5</v>
      </c>
      <c r="S30" s="131">
        <f>$A26</f>
        <v>3</v>
      </c>
      <c r="T30" s="236"/>
      <c r="U30" s="236"/>
      <c r="V30" s="236"/>
      <c r="W30" s="236"/>
      <c r="X30" s="236"/>
      <c r="Y30" s="236"/>
      <c r="Z30" s="236"/>
      <c r="AB30" s="86"/>
      <c r="AC30" s="131"/>
      <c r="AD30" s="131"/>
    </row>
    <row r="31" spans="1:49" s="123" customFormat="1" ht="13.2" customHeight="1" x14ac:dyDescent="0.35">
      <c r="A31" s="376">
        <v>4</v>
      </c>
      <c r="B31" s="331">
        <v>87</v>
      </c>
      <c r="C31" s="378" t="e">
        <f>VLOOKUP(B31,Уч!$A$2:$L$16,2,FALSE)</f>
        <v>#N/A</v>
      </c>
      <c r="D31" s="333" t="e">
        <f>VLOOKUP(B31,Уч!$A$2:$L$16,3,FALSE)</f>
        <v>#N/A</v>
      </c>
      <c r="E31" s="285" t="s">
        <v>18</v>
      </c>
      <c r="F31" s="369" t="e">
        <f>VLOOKUP($B31,'110 сб '!$C$17:$I$87,5,FALSE)</f>
        <v>#N/A</v>
      </c>
      <c r="G31" s="369" t="e">
        <f>VLOOKUP($B31,высота!$C$17:$AF$42,29,FALSE)</f>
        <v>#N/A</v>
      </c>
      <c r="H31" s="369" t="e">
        <f>VLOOKUP($B31,ядро!$C$17:$K$43,8,FALSE)</f>
        <v>#N/A</v>
      </c>
      <c r="I31" s="369">
        <f>VLOOKUP($B31,'2_р'!$C$17:$I$68,5,FALSE)</f>
        <v>26.04</v>
      </c>
      <c r="J31" s="369">
        <f>VLOOKUP($B31,Дл_р!$C$17:$O$43,11,FALSE)</f>
        <v>5.88</v>
      </c>
      <c r="K31" s="369">
        <f>VLOOKUP($B31,К_р!$C$18:$K$31,8,FALSE)</f>
        <v>34.119999999999997</v>
      </c>
      <c r="L31" s="370" t="str">
        <f>VLOOKUP($B31,'8_р'!$C$17:$H$77,5,FALSE)</f>
        <v>2:22.10</v>
      </c>
      <c r="M31" s="383" t="e">
        <f>SUM(F33:L33)</f>
        <v>#N/A</v>
      </c>
      <c r="N31" s="331" t="e">
        <f>LOOKUP(M31,R$1:AA$1,R$2:AA$2)</f>
        <v>#N/A</v>
      </c>
      <c r="O31" s="376" t="e">
        <f>AC31+AD31+5</f>
        <v>#N/A</v>
      </c>
      <c r="P31" s="86">
        <f>B31</f>
        <v>87</v>
      </c>
      <c r="Q31" s="131">
        <f>$A31</f>
        <v>4</v>
      </c>
      <c r="R31" s="131">
        <v>1</v>
      </c>
      <c r="S31" s="131">
        <f>$A31</f>
        <v>4</v>
      </c>
      <c r="T31" s="236"/>
      <c r="U31" s="236"/>
      <c r="V31" s="236"/>
      <c r="W31" s="236"/>
      <c r="X31" s="236"/>
      <c r="Y31" s="236"/>
      <c r="Z31" s="236"/>
      <c r="AB31" s="86"/>
      <c r="AC31" s="131" t="e">
        <f>IF(AND(Q31&gt;16,M31&gt;=4600),"1",LOOKUP(Q31,Q$5:AH$5,Q$6:AH$6))</f>
        <v>#N/A</v>
      </c>
      <c r="AD31" s="131" t="e">
        <f>LOOKUP(N31,R$8:W$8,R$9:W$9)</f>
        <v>#N/A</v>
      </c>
    </row>
    <row r="32" spans="1:49" s="123" customFormat="1" ht="13.2" customHeight="1" x14ac:dyDescent="0.35">
      <c r="A32" s="376"/>
      <c r="B32" s="331"/>
      <c r="C32" s="378" t="e">
        <f>VLOOKUP(B31,Уч!$A$2:$L$16,5,FALSE)</f>
        <v>#N/A</v>
      </c>
      <c r="D32" s="333" t="e">
        <f>VLOOKUP(B31,Уч!$A$2:$L$16,4,FALSE)</f>
        <v>#N/A</v>
      </c>
      <c r="E32" s="285" t="s">
        <v>25</v>
      </c>
      <c r="F32" s="371" t="e">
        <f>VLOOKUP($B31,'110 сб '!$C$17:$I$87,6,FALSE)</f>
        <v>#N/A</v>
      </c>
      <c r="G32" s="369"/>
      <c r="H32" s="369"/>
      <c r="I32" s="371">
        <f>VLOOKUP($B31,'2_р'!$C$17:$I$68,6,FALSE)</f>
        <v>1.2</v>
      </c>
      <c r="J32" s="371">
        <f>VLOOKUP($B31,Дл_р!$C$17:$O$43,12,FALSE)</f>
        <v>0.1</v>
      </c>
      <c r="K32" s="369"/>
      <c r="L32" s="370"/>
      <c r="M32" s="383"/>
      <c r="N32" s="331"/>
      <c r="O32" s="376" t="e">
        <f>CONCATENATE(AC31,"+",AD31,"+",5)</f>
        <v>#N/A</v>
      </c>
      <c r="P32" s="86">
        <f>B31</f>
        <v>87</v>
      </c>
      <c r="Q32" s="131">
        <f>$A31</f>
        <v>4</v>
      </c>
      <c r="R32" s="131">
        <v>2</v>
      </c>
      <c r="S32" s="131">
        <f>$A31</f>
        <v>4</v>
      </c>
      <c r="T32" s="236"/>
      <c r="U32" s="236"/>
      <c r="V32" s="236"/>
      <c r="W32" s="236"/>
      <c r="X32" s="236"/>
      <c r="Y32" s="236"/>
      <c r="Z32" s="236"/>
      <c r="AB32" s="86"/>
      <c r="AC32" s="131"/>
      <c r="AD32" s="131"/>
    </row>
    <row r="33" spans="1:30" s="123" customFormat="1" ht="13.2" customHeight="1" x14ac:dyDescent="0.35">
      <c r="A33" s="376"/>
      <c r="B33" s="331"/>
      <c r="C33" s="379" t="e">
        <f>VLOOKUP(B31,Уч!$A$2:$L$16,7,FALSE)</f>
        <v>#N/A</v>
      </c>
      <c r="D33" s="372"/>
      <c r="E33" s="285" t="s">
        <v>29</v>
      </c>
      <c r="F33" s="370" t="e">
        <f>VLOOKUP($B31,'110 сб '!$C$17:$I$87,7,FALSE)</f>
        <v>#N/A</v>
      </c>
      <c r="G33" s="370" t="e">
        <f>VLOOKUP($B31,высота!$C$17:$AF$42,30,FALSE)</f>
        <v>#N/A</v>
      </c>
      <c r="H33" s="370" t="e">
        <f>VLOOKUP($B31,ядро!$C$17:$K$43,9,FALSE)</f>
        <v>#N/A</v>
      </c>
      <c r="I33" s="370">
        <f>VLOOKUP($B31,'2_р'!$C$17:$I$68,7,FALSE)</f>
        <v>794</v>
      </c>
      <c r="J33" s="370">
        <f>VLOOKUP($B31,Дл_р!$C$17:$O$43,13,FALSE)</f>
        <v>813</v>
      </c>
      <c r="K33" s="370">
        <f>VLOOKUP($B31,К_р!$C$18:$K$31,9,FALSE)</f>
        <v>555</v>
      </c>
      <c r="L33" s="370">
        <f>VLOOKUP($B31,'8_р'!$C$17:$H$77,6,FALSE)</f>
        <v>795</v>
      </c>
      <c r="M33" s="383"/>
      <c r="N33" s="294"/>
      <c r="O33" s="383"/>
      <c r="P33" s="243">
        <f>B31</f>
        <v>87</v>
      </c>
      <c r="Q33" s="131">
        <f>$A31</f>
        <v>4</v>
      </c>
      <c r="R33" s="131">
        <v>3</v>
      </c>
      <c r="S33" s="131">
        <f>$A31</f>
        <v>4</v>
      </c>
      <c r="T33" s="236"/>
      <c r="U33" s="236"/>
      <c r="V33" s="236"/>
      <c r="W33" s="236"/>
      <c r="X33" s="236"/>
      <c r="Y33" s="236"/>
      <c r="Z33" s="236"/>
      <c r="AB33" s="86"/>
      <c r="AC33" s="131"/>
      <c r="AD33" s="131"/>
    </row>
    <row r="34" spans="1:30" s="123" customFormat="1" ht="13.2" customHeight="1" x14ac:dyDescent="0.35">
      <c r="A34" s="376"/>
      <c r="B34" s="331"/>
      <c r="C34" s="379" t="e">
        <f>VLOOKUP(B31,Уч!$A$2:$L$16,11,FALSE)</f>
        <v>#N/A</v>
      </c>
      <c r="D34" s="373"/>
      <c r="E34" s="285" t="s">
        <v>125</v>
      </c>
      <c r="F34" s="370" t="e">
        <f>F33</f>
        <v>#N/A</v>
      </c>
      <c r="G34" s="370" t="e">
        <f t="shared" ref="G34:L34" si="6">F34+G33</f>
        <v>#N/A</v>
      </c>
      <c r="H34" s="370" t="e">
        <f t="shared" si="6"/>
        <v>#N/A</v>
      </c>
      <c r="I34" s="370" t="e">
        <f t="shared" si="6"/>
        <v>#N/A</v>
      </c>
      <c r="J34" s="370" t="e">
        <f t="shared" si="6"/>
        <v>#N/A</v>
      </c>
      <c r="K34" s="370" t="e">
        <f t="shared" si="6"/>
        <v>#N/A</v>
      </c>
      <c r="L34" s="370" t="e">
        <f t="shared" si="6"/>
        <v>#N/A</v>
      </c>
      <c r="M34" s="383"/>
      <c r="N34" s="294"/>
      <c r="O34" s="383"/>
      <c r="P34" s="243">
        <f>B31</f>
        <v>87</v>
      </c>
      <c r="Q34" s="131">
        <f>$A31</f>
        <v>4</v>
      </c>
      <c r="R34" s="131">
        <v>4</v>
      </c>
      <c r="S34" s="131">
        <f>$A31</f>
        <v>4</v>
      </c>
      <c r="T34" s="152" t="e">
        <f t="shared" ref="T34:Z34" si="7">F34</f>
        <v>#N/A</v>
      </c>
      <c r="U34" s="152" t="e">
        <f t="shared" si="7"/>
        <v>#N/A</v>
      </c>
      <c r="V34" s="152" t="e">
        <f t="shared" si="7"/>
        <v>#N/A</v>
      </c>
      <c r="W34" s="152" t="e">
        <f t="shared" si="7"/>
        <v>#N/A</v>
      </c>
      <c r="X34" s="152" t="e">
        <f t="shared" si="7"/>
        <v>#N/A</v>
      </c>
      <c r="Y34" s="152" t="e">
        <f t="shared" si="7"/>
        <v>#N/A</v>
      </c>
      <c r="Z34" s="152" t="e">
        <f t="shared" si="7"/>
        <v>#N/A</v>
      </c>
      <c r="AB34" s="86"/>
      <c r="AC34" s="131"/>
      <c r="AD34" s="131"/>
    </row>
    <row r="35" spans="1:30" s="123" customFormat="1" ht="13.2" customHeight="1" x14ac:dyDescent="0.35">
      <c r="A35" s="324"/>
      <c r="B35" s="385"/>
      <c r="C35" s="325"/>
      <c r="D35" s="386"/>
      <c r="E35" s="381" t="s">
        <v>60</v>
      </c>
      <c r="F35" s="387" t="e">
        <f>RANK(F34,$T$19:$T$60,0)</f>
        <v>#N/A</v>
      </c>
      <c r="G35" s="387" t="e">
        <f>RANK(G34,$U$19:$U$60,0)</f>
        <v>#N/A</v>
      </c>
      <c r="H35" s="387" t="e">
        <f>RANK(H34,$V$19:$V$60,0)</f>
        <v>#N/A</v>
      </c>
      <c r="I35" s="387" t="e">
        <f>RANK(I34,$W$19:$W$60,0)</f>
        <v>#N/A</v>
      </c>
      <c r="J35" s="387" t="e">
        <f>RANK(J34,$X$19:$X$60,0)</f>
        <v>#N/A</v>
      </c>
      <c r="K35" s="387" t="e">
        <f>RANK(K34,$Y$19:$Y$60,0)</f>
        <v>#N/A</v>
      </c>
      <c r="L35" s="387" t="e">
        <f>RANK(L34,$Z$19:$Z$60,0)</f>
        <v>#N/A</v>
      </c>
      <c r="M35" s="384"/>
      <c r="N35" s="388"/>
      <c r="O35" s="384"/>
      <c r="P35" s="243">
        <f>B31</f>
        <v>87</v>
      </c>
      <c r="Q35" s="131">
        <f>$A31</f>
        <v>4</v>
      </c>
      <c r="R35" s="131">
        <v>5</v>
      </c>
      <c r="S35" s="131">
        <f>$A31</f>
        <v>4</v>
      </c>
      <c r="T35" s="236"/>
      <c r="U35" s="236"/>
      <c r="V35" s="236"/>
      <c r="W35" s="236"/>
      <c r="X35" s="236"/>
      <c r="Y35" s="236"/>
      <c r="Z35" s="236"/>
      <c r="AB35" s="86"/>
      <c r="AC35" s="131"/>
      <c r="AD35" s="131"/>
    </row>
    <row r="36" spans="1:30" s="123" customFormat="1" ht="13.2" customHeight="1" x14ac:dyDescent="0.35">
      <c r="A36" s="376">
        <v>5</v>
      </c>
      <c r="B36" s="331">
        <v>61</v>
      </c>
      <c r="C36" s="378" t="str">
        <f>VLOOKUP(B36,Уч!$A$2:$L$16,2,FALSE)</f>
        <v>Ладикан Юлия</v>
      </c>
      <c r="D36" s="333" t="str">
        <f>VLOOKUP(B36,Уч!$A$2:$L$16,3,FALSE)</f>
        <v>15.04.1999</v>
      </c>
      <c r="E36" s="285" t="s">
        <v>18</v>
      </c>
      <c r="F36" s="369">
        <f>VLOOKUP($B36,'110 сб '!$C$17:$I$87,5,FALSE)</f>
        <v>0</v>
      </c>
      <c r="G36" s="369">
        <f>VLOOKUP($B36,высота!$C$17:$AF$42,29,FALSE)</f>
        <v>0</v>
      </c>
      <c r="H36" s="369">
        <f>VLOOKUP($B36,ядро!$C$17:$K$43,8,FALSE)</f>
        <v>10.17</v>
      </c>
      <c r="I36" s="369">
        <f>VLOOKUP($B36,'2_р'!$C$17:$I$68,5,FALSE)</f>
        <v>28.27</v>
      </c>
      <c r="J36" s="369">
        <f>VLOOKUP($B36,Дл_р!$C$17:$O$43,11,FALSE)</f>
        <v>4.97</v>
      </c>
      <c r="K36" s="369">
        <f>VLOOKUP($B36,К_р!$C$18:$K$31,8,FALSE)</f>
        <v>31.2</v>
      </c>
      <c r="L36" s="370" t="str">
        <f>VLOOKUP($B36,'8_р'!$C$17:$H$77,5,FALSE)</f>
        <v>2:24.02</v>
      </c>
      <c r="M36" s="383">
        <f>SUM(F38:L38)</f>
        <v>2971</v>
      </c>
      <c r="N36" s="331">
        <f>LOOKUP(M36,R$1:AA$1,R$2:AA$2)</f>
        <v>3</v>
      </c>
      <c r="O36" s="376">
        <f>AC36+AD36+5</f>
        <v>18</v>
      </c>
      <c r="P36" s="86">
        <f>B36</f>
        <v>61</v>
      </c>
      <c r="Q36" s="131">
        <f>$A36</f>
        <v>5</v>
      </c>
      <c r="R36" s="131">
        <v>1</v>
      </c>
      <c r="S36" s="131">
        <f>$A36</f>
        <v>5</v>
      </c>
      <c r="T36" s="236"/>
      <c r="U36" s="236"/>
      <c r="V36" s="236"/>
      <c r="W36" s="236"/>
      <c r="X36" s="236"/>
      <c r="Y36" s="236"/>
      <c r="Z36" s="253"/>
      <c r="AA36" s="131"/>
      <c r="AC36" s="131">
        <f>IF(AND(Q36&gt;16,M36&gt;=4600),"1",LOOKUP(Q36,Q$5:AH$5,Q$6:AH$6))</f>
        <v>13</v>
      </c>
      <c r="AD36" s="131">
        <f>LOOKUP(N36,R$8:W$8,R$9:W$9)</f>
        <v>0</v>
      </c>
    </row>
    <row r="37" spans="1:30" s="123" customFormat="1" ht="13.2" customHeight="1" x14ac:dyDescent="0.35">
      <c r="A37" s="376"/>
      <c r="B37" s="331"/>
      <c r="C37" s="378" t="str">
        <f>VLOOKUP(B36,Уч!$A$2:$L$16,5,FALSE)</f>
        <v xml:space="preserve">Кемеровская область  </v>
      </c>
      <c r="D37" s="333" t="str">
        <f>VLOOKUP(B36,Уч!$A$2:$L$16,4,FALSE)</f>
        <v>КМС</v>
      </c>
      <c r="E37" s="285" t="s">
        <v>25</v>
      </c>
      <c r="F37" s="371">
        <f>VLOOKUP($B36,'110 сб '!$C$17:$I$87,6,FALSE)</f>
        <v>0</v>
      </c>
      <c r="G37" s="369"/>
      <c r="H37" s="369"/>
      <c r="I37" s="371">
        <f>VLOOKUP($B36,'2_р'!$C$17:$I$68,6,FALSE)</f>
        <v>1.2</v>
      </c>
      <c r="J37" s="371">
        <f>VLOOKUP($B36,Дл_р!$C$17:$O$43,12,FALSE)</f>
        <v>0.8</v>
      </c>
      <c r="K37" s="369"/>
      <c r="L37" s="370"/>
      <c r="M37" s="383"/>
      <c r="N37" s="331"/>
      <c r="O37" s="376" t="str">
        <f>CONCATENATE(AC36,"+",AD36,"+",5)</f>
        <v>13+0+5</v>
      </c>
      <c r="P37" s="86">
        <f>B36</f>
        <v>61</v>
      </c>
      <c r="Q37" s="131">
        <f>$A36</f>
        <v>5</v>
      </c>
      <c r="R37" s="131">
        <v>2</v>
      </c>
      <c r="S37" s="131">
        <f>$A36</f>
        <v>5</v>
      </c>
      <c r="T37" s="236"/>
      <c r="U37" s="236"/>
      <c r="V37" s="236"/>
      <c r="W37" s="236"/>
      <c r="X37" s="236"/>
      <c r="Y37" s="236"/>
      <c r="Z37" s="253"/>
      <c r="AA37" s="131"/>
      <c r="AC37" s="131"/>
      <c r="AD37" s="131"/>
    </row>
    <row r="38" spans="1:30" s="123" customFormat="1" ht="13.2" customHeight="1" x14ac:dyDescent="0.35">
      <c r="A38" s="376"/>
      <c r="B38" s="331"/>
      <c r="C38" s="379" t="str">
        <f>VLOOKUP(B36,Уч!$A$2:$L$16,7,FALSE)</f>
        <v>МА ФСУ «СШОР по легкой атлетике»</v>
      </c>
      <c r="D38" s="372"/>
      <c r="E38" s="285" t="s">
        <v>29</v>
      </c>
      <c r="F38" s="370">
        <f>VLOOKUP($B36,'110 сб '!$C$17:$I$87,7,FALSE)</f>
        <v>0</v>
      </c>
      <c r="G38" s="370">
        <f>VLOOKUP($B36,высота!$C$17:$AF$42,30,FALSE)</f>
        <v>0</v>
      </c>
      <c r="H38" s="370">
        <f>VLOOKUP($B36,ядро!$C$17:$K$43,9,FALSE)</f>
        <v>541</v>
      </c>
      <c r="I38" s="370">
        <f>VLOOKUP($B36,'2_р'!$C$17:$I$68,7,FALSE)</f>
        <v>610</v>
      </c>
      <c r="J38" s="370">
        <f>VLOOKUP($B36,Дл_р!$C$17:$O$43,13,FALSE)</f>
        <v>551</v>
      </c>
      <c r="K38" s="370">
        <f>VLOOKUP($B36,К_р!$C$18:$K$31,9,FALSE)</f>
        <v>499</v>
      </c>
      <c r="L38" s="370">
        <f>VLOOKUP($B36,'8_р'!$C$17:$H$77,6,FALSE)</f>
        <v>770</v>
      </c>
      <c r="M38" s="383"/>
      <c r="N38" s="294"/>
      <c r="O38" s="383"/>
      <c r="P38" s="243">
        <f>B36</f>
        <v>61</v>
      </c>
      <c r="Q38" s="131">
        <f>$A36</f>
        <v>5</v>
      </c>
      <c r="R38" s="131">
        <v>3</v>
      </c>
      <c r="S38" s="131">
        <f>$A36</f>
        <v>5</v>
      </c>
      <c r="T38" s="236"/>
      <c r="U38" s="236"/>
      <c r="V38" s="236"/>
      <c r="W38" s="236"/>
      <c r="X38" s="236"/>
      <c r="Y38" s="236"/>
      <c r="Z38" s="253"/>
      <c r="AC38" s="131"/>
      <c r="AD38" s="131"/>
    </row>
    <row r="39" spans="1:30" s="123" customFormat="1" ht="13.2" customHeight="1" x14ac:dyDescent="0.35">
      <c r="A39" s="376"/>
      <c r="B39" s="331"/>
      <c r="C39" s="379" t="str">
        <f>VLOOKUP(B36,Уч!$A$2:$L$16,11,FALSE)</f>
        <v>Мартынов Н.М.</v>
      </c>
      <c r="D39" s="373"/>
      <c r="E39" s="285" t="s">
        <v>125</v>
      </c>
      <c r="F39" s="370">
        <f>F38</f>
        <v>0</v>
      </c>
      <c r="G39" s="370">
        <f t="shared" ref="G39:L39" si="8">F39+G38</f>
        <v>0</v>
      </c>
      <c r="H39" s="370">
        <f t="shared" si="8"/>
        <v>541</v>
      </c>
      <c r="I39" s="370">
        <f t="shared" si="8"/>
        <v>1151</v>
      </c>
      <c r="J39" s="370">
        <f t="shared" si="8"/>
        <v>1702</v>
      </c>
      <c r="K39" s="370">
        <f t="shared" si="8"/>
        <v>2201</v>
      </c>
      <c r="L39" s="370">
        <f t="shared" si="8"/>
        <v>2971</v>
      </c>
      <c r="M39" s="383"/>
      <c r="N39" s="294"/>
      <c r="O39" s="383"/>
      <c r="P39" s="243">
        <f>B36</f>
        <v>61</v>
      </c>
      <c r="Q39" s="131">
        <f>$A36</f>
        <v>5</v>
      </c>
      <c r="R39" s="131">
        <v>4</v>
      </c>
      <c r="S39" s="131">
        <f>$A36</f>
        <v>5</v>
      </c>
      <c r="T39" s="152">
        <f t="shared" ref="T39:Z39" si="9">F39</f>
        <v>0</v>
      </c>
      <c r="U39" s="152">
        <f t="shared" si="9"/>
        <v>0</v>
      </c>
      <c r="V39" s="152">
        <f t="shared" si="9"/>
        <v>541</v>
      </c>
      <c r="W39" s="152">
        <f t="shared" si="9"/>
        <v>1151</v>
      </c>
      <c r="X39" s="152">
        <f t="shared" si="9"/>
        <v>1702</v>
      </c>
      <c r="Y39" s="152">
        <f t="shared" si="9"/>
        <v>2201</v>
      </c>
      <c r="Z39" s="152">
        <f t="shared" si="9"/>
        <v>2971</v>
      </c>
      <c r="AC39" s="131"/>
      <c r="AD39" s="131"/>
    </row>
    <row r="40" spans="1:30" s="123" customFormat="1" ht="13.2" customHeight="1" x14ac:dyDescent="0.35">
      <c r="A40" s="324"/>
      <c r="B40" s="385"/>
      <c r="C40" s="325"/>
      <c r="D40" s="386"/>
      <c r="E40" s="381" t="s">
        <v>60</v>
      </c>
      <c r="F40" s="387" t="e">
        <f>RANK(F39,$T$19:$T$60,0)</f>
        <v>#N/A</v>
      </c>
      <c r="G40" s="387" t="e">
        <f>RANK(G39,$U$19:$U$60,0)</f>
        <v>#N/A</v>
      </c>
      <c r="H40" s="387" t="e">
        <f>RANK(H39,$V$19:$V$60,0)</f>
        <v>#N/A</v>
      </c>
      <c r="I40" s="387" t="e">
        <f>RANK(I39,$W$19:$W$60,0)</f>
        <v>#N/A</v>
      </c>
      <c r="J40" s="387" t="e">
        <f>RANK(J39,$X$19:$X$60,0)</f>
        <v>#N/A</v>
      </c>
      <c r="K40" s="387" t="e">
        <f>RANK(K39,$Y$19:$Y$60,0)</f>
        <v>#N/A</v>
      </c>
      <c r="L40" s="387" t="e">
        <f>RANK(L39,$Z$19:$Z$60,0)</f>
        <v>#N/A</v>
      </c>
      <c r="M40" s="384"/>
      <c r="N40" s="388"/>
      <c r="O40" s="384"/>
      <c r="P40" s="243">
        <f>B36</f>
        <v>61</v>
      </c>
      <c r="Q40" s="131">
        <f>$A36</f>
        <v>5</v>
      </c>
      <c r="R40" s="131">
        <v>5</v>
      </c>
      <c r="S40" s="131">
        <f>$A36</f>
        <v>5</v>
      </c>
      <c r="T40" s="236"/>
      <c r="U40" s="236"/>
      <c r="V40" s="236"/>
      <c r="W40" s="236"/>
      <c r="X40" s="236"/>
      <c r="Y40" s="236"/>
      <c r="Z40" s="253"/>
      <c r="AC40" s="131"/>
      <c r="AD40" s="131"/>
    </row>
    <row r="41" spans="1:30" s="123" customFormat="1" ht="13.2" customHeight="1" x14ac:dyDescent="0.35">
      <c r="A41" s="376">
        <v>6</v>
      </c>
      <c r="B41" s="331">
        <v>76</v>
      </c>
      <c r="C41" s="378" t="e">
        <f>VLOOKUP(B41,Уч!$A$2:$L$16,2,FALSE)</f>
        <v>#N/A</v>
      </c>
      <c r="D41" s="333" t="e">
        <f>VLOOKUP(B41,Уч!$A$2:$L$16,3,FALSE)</f>
        <v>#N/A</v>
      </c>
      <c r="E41" s="285" t="s">
        <v>18</v>
      </c>
      <c r="F41" s="369" t="e">
        <f>VLOOKUP($B41,'110 сб '!$C$17:$I$87,5,FALSE)</f>
        <v>#N/A</v>
      </c>
      <c r="G41" s="369" t="e">
        <f>VLOOKUP($B41,высота!$C$17:$AF$42,29,FALSE)</f>
        <v>#N/A</v>
      </c>
      <c r="H41" s="369" t="e">
        <f>VLOOKUP($B41,ядро!$C$17:$K$43,8,FALSE)</f>
        <v>#N/A</v>
      </c>
      <c r="I41" s="369">
        <f>VLOOKUP($B41,'2_р'!$C$17:$I$68,5,FALSE)</f>
        <v>27.12</v>
      </c>
      <c r="J41" s="369">
        <f>VLOOKUP($B41,Дл_р!$C$17:$O$43,11,FALSE)</f>
        <v>5.04</v>
      </c>
      <c r="K41" s="369">
        <f>VLOOKUP($B41,К_р!$C$18:$K$31,8,FALSE)</f>
        <v>30.17</v>
      </c>
      <c r="L41" s="370" t="str">
        <f>VLOOKUP($B41,'8_р'!$C$17:$H$77,5,FALSE)</f>
        <v>2:25.27</v>
      </c>
      <c r="M41" s="383" t="e">
        <f>SUM(F43:L43)</f>
        <v>#N/A</v>
      </c>
      <c r="N41" s="331" t="e">
        <f>LOOKUP(M41,R$1:AA$1,R$2:AA$2)</f>
        <v>#N/A</v>
      </c>
      <c r="O41" s="376" t="e">
        <f>AC41+AD41+5</f>
        <v>#N/A</v>
      </c>
      <c r="P41" s="86">
        <f>B41</f>
        <v>76</v>
      </c>
      <c r="Q41" s="131">
        <f>$A41</f>
        <v>6</v>
      </c>
      <c r="R41" s="131">
        <v>1</v>
      </c>
      <c r="S41" s="131">
        <f>$A41</f>
        <v>6</v>
      </c>
      <c r="T41" s="236"/>
      <c r="U41" s="236"/>
      <c r="V41" s="236"/>
      <c r="W41" s="236"/>
      <c r="X41" s="236"/>
      <c r="Y41" s="236"/>
      <c r="Z41" s="236"/>
      <c r="AC41" s="131" t="e">
        <f>IF(AND(Q41&gt;16,M41&gt;=4600),"1",LOOKUP(Q41,Q$5:AH$5,Q$6:AH$6))</f>
        <v>#N/A</v>
      </c>
      <c r="AD41" s="131" t="e">
        <f>LOOKUP(N41,R$8:W$8,R$9:W$9)</f>
        <v>#N/A</v>
      </c>
    </row>
    <row r="42" spans="1:30" s="123" customFormat="1" ht="13.2" customHeight="1" x14ac:dyDescent="0.35">
      <c r="A42" s="376"/>
      <c r="B42" s="331"/>
      <c r="C42" s="378" t="e">
        <f>VLOOKUP(B41,Уч!$A$2:$L$16,5,FALSE)</f>
        <v>#N/A</v>
      </c>
      <c r="D42" s="333" t="e">
        <f>VLOOKUP(B41,Уч!$A$2:$L$16,4,FALSE)</f>
        <v>#N/A</v>
      </c>
      <c r="E42" s="285" t="s">
        <v>25</v>
      </c>
      <c r="F42" s="371" t="e">
        <f>VLOOKUP($B41,'110 сб '!$C$17:$I$87,6,FALSE)</f>
        <v>#N/A</v>
      </c>
      <c r="G42" s="369"/>
      <c r="H42" s="369"/>
      <c r="I42" s="371">
        <f>VLOOKUP($B41,'2_р'!$C$17:$I$68,6,FALSE)</f>
        <v>0</v>
      </c>
      <c r="J42" s="371">
        <f>VLOOKUP($B41,Дл_р!$C$17:$O$43,12,FALSE)</f>
        <v>-1.1000000000000001</v>
      </c>
      <c r="K42" s="369"/>
      <c r="L42" s="370"/>
      <c r="M42" s="383"/>
      <c r="N42" s="331"/>
      <c r="O42" s="376" t="e">
        <f>CONCATENATE(AC41,"+",AD41,"+",5)</f>
        <v>#N/A</v>
      </c>
      <c r="P42" s="86">
        <f>B41</f>
        <v>76</v>
      </c>
      <c r="Q42" s="131">
        <f>$A41</f>
        <v>6</v>
      </c>
      <c r="R42" s="131">
        <v>2</v>
      </c>
      <c r="S42" s="131">
        <f>$A41</f>
        <v>6</v>
      </c>
      <c r="T42" s="236"/>
      <c r="U42" s="236"/>
      <c r="V42" s="236"/>
      <c r="W42" s="236"/>
      <c r="X42" s="236"/>
      <c r="Y42" s="236"/>
      <c r="Z42" s="236"/>
      <c r="AC42" s="131"/>
      <c r="AD42" s="131"/>
    </row>
    <row r="43" spans="1:30" s="123" customFormat="1" ht="13.2" customHeight="1" x14ac:dyDescent="0.35">
      <c r="A43" s="376"/>
      <c r="B43" s="331"/>
      <c r="C43" s="379" t="e">
        <f>VLOOKUP(B41,Уч!$A$2:$L$16,7,FALSE)</f>
        <v>#N/A</v>
      </c>
      <c r="D43" s="372"/>
      <c r="E43" s="285" t="s">
        <v>29</v>
      </c>
      <c r="F43" s="370" t="e">
        <f>VLOOKUP($B41,'110 сб '!$C$17:$I$87,7,FALSE)</f>
        <v>#N/A</v>
      </c>
      <c r="G43" s="370" t="e">
        <f>VLOOKUP($B41,высота!$C$17:$AF$42,30,FALSE)</f>
        <v>#N/A</v>
      </c>
      <c r="H43" s="370" t="e">
        <f>VLOOKUP($B41,ядро!$C$17:$K$43,9,FALSE)</f>
        <v>#N/A</v>
      </c>
      <c r="I43" s="370">
        <f>VLOOKUP($B41,'2_р'!$C$17:$I$68,7,FALSE)</f>
        <v>702</v>
      </c>
      <c r="J43" s="370">
        <f>VLOOKUP($B41,Дл_р!$C$17:$O$43,13,FALSE)</f>
        <v>570</v>
      </c>
      <c r="K43" s="370">
        <f>VLOOKUP($B41,К_р!$C$18:$K$31,9,FALSE)</f>
        <v>480</v>
      </c>
      <c r="L43" s="370">
        <f>VLOOKUP($B41,'8_р'!$C$17:$H$77,6,FALSE)</f>
        <v>753</v>
      </c>
      <c r="M43" s="383"/>
      <c r="N43" s="294"/>
      <c r="O43" s="383"/>
      <c r="P43" s="243">
        <f>B41</f>
        <v>76</v>
      </c>
      <c r="Q43" s="131">
        <f>$A41</f>
        <v>6</v>
      </c>
      <c r="R43" s="131">
        <v>3</v>
      </c>
      <c r="S43" s="131">
        <f>$A41</f>
        <v>6</v>
      </c>
      <c r="T43" s="236"/>
      <c r="U43" s="236"/>
      <c r="V43" s="236"/>
      <c r="W43" s="236"/>
      <c r="X43" s="236"/>
      <c r="Y43" s="236"/>
      <c r="Z43" s="236"/>
      <c r="AC43" s="131"/>
      <c r="AD43" s="131"/>
    </row>
    <row r="44" spans="1:30" s="123" customFormat="1" ht="13.2" customHeight="1" x14ac:dyDescent="0.35">
      <c r="A44" s="376"/>
      <c r="B44" s="331"/>
      <c r="C44" s="379" t="e">
        <f>VLOOKUP(B41,Уч!$A$2:$L$16,11,FALSE)</f>
        <v>#N/A</v>
      </c>
      <c r="D44" s="373"/>
      <c r="E44" s="285" t="s">
        <v>125</v>
      </c>
      <c r="F44" s="370" t="e">
        <f>F43</f>
        <v>#N/A</v>
      </c>
      <c r="G44" s="370" t="e">
        <f t="shared" ref="G44:L44" si="10">F44+G43</f>
        <v>#N/A</v>
      </c>
      <c r="H44" s="370" t="e">
        <f t="shared" si="10"/>
        <v>#N/A</v>
      </c>
      <c r="I44" s="370" t="e">
        <f t="shared" si="10"/>
        <v>#N/A</v>
      </c>
      <c r="J44" s="370" t="e">
        <f t="shared" si="10"/>
        <v>#N/A</v>
      </c>
      <c r="K44" s="370" t="e">
        <f t="shared" si="10"/>
        <v>#N/A</v>
      </c>
      <c r="L44" s="370" t="e">
        <f t="shared" si="10"/>
        <v>#N/A</v>
      </c>
      <c r="M44" s="383"/>
      <c r="N44" s="294"/>
      <c r="O44" s="383"/>
      <c r="P44" s="243">
        <f>B41</f>
        <v>76</v>
      </c>
      <c r="Q44" s="131">
        <f>$A41</f>
        <v>6</v>
      </c>
      <c r="R44" s="131">
        <v>4</v>
      </c>
      <c r="S44" s="131">
        <f>$A41</f>
        <v>6</v>
      </c>
      <c r="T44" s="152" t="e">
        <f t="shared" ref="T44:Z44" si="11">F44</f>
        <v>#N/A</v>
      </c>
      <c r="U44" s="152" t="e">
        <f t="shared" si="11"/>
        <v>#N/A</v>
      </c>
      <c r="V44" s="152" t="e">
        <f t="shared" si="11"/>
        <v>#N/A</v>
      </c>
      <c r="W44" s="152" t="e">
        <f t="shared" si="11"/>
        <v>#N/A</v>
      </c>
      <c r="X44" s="152" t="e">
        <f t="shared" si="11"/>
        <v>#N/A</v>
      </c>
      <c r="Y44" s="152" t="e">
        <f t="shared" si="11"/>
        <v>#N/A</v>
      </c>
      <c r="Z44" s="152" t="e">
        <f t="shared" si="11"/>
        <v>#N/A</v>
      </c>
      <c r="AC44" s="131"/>
      <c r="AD44" s="131"/>
    </row>
    <row r="45" spans="1:30" s="123" customFormat="1" ht="13.2" customHeight="1" x14ac:dyDescent="0.35">
      <c r="A45" s="324"/>
      <c r="B45" s="385"/>
      <c r="C45" s="325"/>
      <c r="D45" s="386"/>
      <c r="E45" s="381" t="s">
        <v>60</v>
      </c>
      <c r="F45" s="387" t="e">
        <f>RANK(F44,$T$19:$T$60,0)</f>
        <v>#N/A</v>
      </c>
      <c r="G45" s="387" t="e">
        <f>RANK(G44,$U$19:$U$60,0)</f>
        <v>#N/A</v>
      </c>
      <c r="H45" s="387" t="e">
        <f>RANK(H44,$V$19:$V$60,0)</f>
        <v>#N/A</v>
      </c>
      <c r="I45" s="387" t="e">
        <f>RANK(I44,$W$19:$W$60,0)</f>
        <v>#N/A</v>
      </c>
      <c r="J45" s="387" t="e">
        <f>RANK(J44,$X$19:$X$60,0)</f>
        <v>#N/A</v>
      </c>
      <c r="K45" s="387" t="e">
        <f>RANK(K44,$Y$19:$Y$60,0)</f>
        <v>#N/A</v>
      </c>
      <c r="L45" s="387" t="e">
        <f>RANK(L44,$Z$19:$Z$60,0)</f>
        <v>#N/A</v>
      </c>
      <c r="M45" s="384"/>
      <c r="N45" s="388"/>
      <c r="O45" s="384"/>
      <c r="P45" s="243">
        <f>B41</f>
        <v>76</v>
      </c>
      <c r="Q45" s="131">
        <f>$A41</f>
        <v>6</v>
      </c>
      <c r="R45" s="131">
        <v>5</v>
      </c>
      <c r="S45" s="131">
        <f>$A41</f>
        <v>6</v>
      </c>
      <c r="T45" s="236"/>
      <c r="U45" s="236"/>
      <c r="V45" s="236"/>
      <c r="W45" s="236"/>
      <c r="X45" s="236"/>
      <c r="Y45" s="236"/>
      <c r="Z45" s="236"/>
      <c r="AC45" s="131"/>
      <c r="AD45" s="131"/>
    </row>
    <row r="46" spans="1:30" s="123" customFormat="1" ht="13.2" customHeight="1" x14ac:dyDescent="0.35">
      <c r="A46" s="376">
        <v>7</v>
      </c>
      <c r="B46" s="331">
        <v>13</v>
      </c>
      <c r="C46" s="378" t="e">
        <f>VLOOKUP(B46,Уч!$A$2:$L$16,2,FALSE)</f>
        <v>#N/A</v>
      </c>
      <c r="D46" s="333" t="e">
        <f>VLOOKUP(B46,Уч!$A$2:$L$16,3,FALSE)</f>
        <v>#N/A</v>
      </c>
      <c r="E46" s="285" t="s">
        <v>18</v>
      </c>
      <c r="F46" s="369" t="e">
        <f>VLOOKUP($B46,'110 сб '!$C$17:$I$87,5,FALSE)</f>
        <v>#N/A</v>
      </c>
      <c r="G46" s="369" t="e">
        <f>VLOOKUP($B46,высота!$C$17:$AF$42,29,FALSE)</f>
        <v>#N/A</v>
      </c>
      <c r="H46" s="369" t="e">
        <f>VLOOKUP($B46,ядро!$C$17:$K$43,8,FALSE)</f>
        <v>#N/A</v>
      </c>
      <c r="I46" s="369">
        <f>VLOOKUP($B46,'2_р'!$C$17:$I$68,5,FALSE)</f>
        <v>28.13</v>
      </c>
      <c r="J46" s="369">
        <f>VLOOKUP($B46,Дл_р!$C$17:$O$43,11,FALSE)</f>
        <v>4.87</v>
      </c>
      <c r="K46" s="369">
        <f>VLOOKUP($B46,К_р!$C$18:$K$31,8,FALSE)</f>
        <v>34.19</v>
      </c>
      <c r="L46" s="370" t="str">
        <f>VLOOKUP($B46,'8_р'!$C$17:$H$77,5,FALSE)</f>
        <v>2:35.01</v>
      </c>
      <c r="M46" s="383" t="e">
        <f>SUM(F48:L48)</f>
        <v>#N/A</v>
      </c>
      <c r="N46" s="331" t="e">
        <f>LOOKUP(M46,R$1:AA$1,R$2:AA$2)</f>
        <v>#N/A</v>
      </c>
      <c r="O46" s="376" t="e">
        <f>AC46+AD46+5</f>
        <v>#N/A</v>
      </c>
      <c r="P46" s="86">
        <f>B46</f>
        <v>13</v>
      </c>
      <c r="Q46" s="131">
        <f>$A46</f>
        <v>7</v>
      </c>
      <c r="R46" s="131">
        <v>1</v>
      </c>
      <c r="S46" s="131">
        <f>$A46</f>
        <v>7</v>
      </c>
      <c r="T46" s="236"/>
      <c r="U46" s="236"/>
      <c r="V46" s="236"/>
      <c r="W46" s="236"/>
      <c r="X46" s="236"/>
      <c r="Y46" s="236"/>
      <c r="Z46" s="236"/>
      <c r="AC46" s="131" t="e">
        <f>IF(AND(Q46&gt;16,M46&gt;=4600),"1",LOOKUP(Q46,Q$5:AH$5,Q$6:AH$6))</f>
        <v>#N/A</v>
      </c>
      <c r="AD46" s="131" t="e">
        <f>LOOKUP(N46,R$8:W$8,R$9:W$9)</f>
        <v>#N/A</v>
      </c>
    </row>
    <row r="47" spans="1:30" s="123" customFormat="1" ht="13.2" customHeight="1" x14ac:dyDescent="0.35">
      <c r="A47" s="376"/>
      <c r="B47" s="331"/>
      <c r="C47" s="378" t="e">
        <f>VLOOKUP(B46,Уч!$A$2:$L$16,5,FALSE)</f>
        <v>#N/A</v>
      </c>
      <c r="D47" s="333" t="e">
        <f>VLOOKUP(B46,Уч!$A$2:$L$16,4,FALSE)</f>
        <v>#N/A</v>
      </c>
      <c r="E47" s="285" t="s">
        <v>25</v>
      </c>
      <c r="F47" s="371" t="e">
        <f>VLOOKUP($B46,'110 сб '!$C$17:$I$87,6,FALSE)</f>
        <v>#N/A</v>
      </c>
      <c r="G47" s="369"/>
      <c r="H47" s="369"/>
      <c r="I47" s="371">
        <f>VLOOKUP($B46,'2_р'!$C$17:$I$68,6,FALSE)</f>
        <v>1.2</v>
      </c>
      <c r="J47" s="371">
        <f>VLOOKUP($B46,Дл_р!$C$17:$O$43,12,FALSE)</f>
        <v>0.3</v>
      </c>
      <c r="K47" s="369"/>
      <c r="L47" s="370"/>
      <c r="M47" s="383"/>
      <c r="N47" s="331"/>
      <c r="O47" s="376" t="e">
        <f>CONCATENATE(AC46,"+",AD46,"+",5)</f>
        <v>#N/A</v>
      </c>
      <c r="P47" s="86">
        <f>B46</f>
        <v>13</v>
      </c>
      <c r="Q47" s="131">
        <f>$A46</f>
        <v>7</v>
      </c>
      <c r="R47" s="131">
        <v>2</v>
      </c>
      <c r="S47" s="131">
        <f>$A46</f>
        <v>7</v>
      </c>
      <c r="T47" s="236"/>
      <c r="U47" s="236"/>
      <c r="V47" s="236"/>
      <c r="W47" s="236"/>
      <c r="X47" s="236"/>
      <c r="Y47" s="236"/>
      <c r="Z47" s="236"/>
      <c r="AC47" s="131"/>
      <c r="AD47" s="131"/>
    </row>
    <row r="48" spans="1:30" s="123" customFormat="1" ht="13.2" customHeight="1" x14ac:dyDescent="0.35">
      <c r="A48" s="376"/>
      <c r="B48" s="331"/>
      <c r="C48" s="379" t="e">
        <f>VLOOKUP(B46,Уч!$A$2:$L$16,7,FALSE)</f>
        <v>#N/A</v>
      </c>
      <c r="D48" s="372"/>
      <c r="E48" s="285" t="s">
        <v>29</v>
      </c>
      <c r="F48" s="370" t="e">
        <f>VLOOKUP($B46,'110 сб '!$C$17:$I$87,7,FALSE)</f>
        <v>#N/A</v>
      </c>
      <c r="G48" s="370" t="e">
        <f>VLOOKUP($B46,высота!$C$17:$AF$42,30,FALSE)</f>
        <v>#N/A</v>
      </c>
      <c r="H48" s="370" t="e">
        <f>VLOOKUP($B46,ядро!$C$17:$K$43,9,FALSE)</f>
        <v>#N/A</v>
      </c>
      <c r="I48" s="370">
        <f>VLOOKUP($B46,'2_р'!$C$17:$I$68,7,FALSE)</f>
        <v>621</v>
      </c>
      <c r="J48" s="370">
        <f>VLOOKUP($B46,Дл_р!$C$17:$O$43,13,FALSE)</f>
        <v>524</v>
      </c>
      <c r="K48" s="370">
        <f>VLOOKUP($B46,К_р!$C$18:$K$31,9,FALSE)</f>
        <v>556</v>
      </c>
      <c r="L48" s="370">
        <f>VLOOKUP($B46,'8_р'!$C$17:$H$77,6,FALSE)</f>
        <v>631</v>
      </c>
      <c r="M48" s="383"/>
      <c r="N48" s="294"/>
      <c r="O48" s="383"/>
      <c r="P48" s="243">
        <f>B46</f>
        <v>13</v>
      </c>
      <c r="Q48" s="131">
        <f>$A46</f>
        <v>7</v>
      </c>
      <c r="R48" s="131">
        <v>3</v>
      </c>
      <c r="S48" s="131">
        <f>$A46</f>
        <v>7</v>
      </c>
      <c r="T48" s="236"/>
      <c r="U48" s="236"/>
      <c r="V48" s="236"/>
      <c r="W48" s="236"/>
      <c r="X48" s="236"/>
      <c r="Y48" s="236"/>
      <c r="Z48" s="236"/>
      <c r="AB48" s="86"/>
      <c r="AC48" s="131"/>
      <c r="AD48" s="131"/>
    </row>
    <row r="49" spans="1:49" s="123" customFormat="1" ht="13.2" customHeight="1" x14ac:dyDescent="0.35">
      <c r="A49" s="376"/>
      <c r="B49" s="331"/>
      <c r="C49" s="379" t="e">
        <f>VLOOKUP(B46,Уч!$A$2:$L$16,11,FALSE)</f>
        <v>#N/A</v>
      </c>
      <c r="D49" s="373"/>
      <c r="E49" s="285" t="s">
        <v>125</v>
      </c>
      <c r="F49" s="370" t="e">
        <f>F48</f>
        <v>#N/A</v>
      </c>
      <c r="G49" s="370" t="e">
        <f t="shared" ref="G49:L49" si="12">F49+G48</f>
        <v>#N/A</v>
      </c>
      <c r="H49" s="370" t="e">
        <f t="shared" si="12"/>
        <v>#N/A</v>
      </c>
      <c r="I49" s="370" t="e">
        <f t="shared" si="12"/>
        <v>#N/A</v>
      </c>
      <c r="J49" s="370" t="e">
        <f t="shared" si="12"/>
        <v>#N/A</v>
      </c>
      <c r="K49" s="370" t="e">
        <f t="shared" si="12"/>
        <v>#N/A</v>
      </c>
      <c r="L49" s="370" t="e">
        <f t="shared" si="12"/>
        <v>#N/A</v>
      </c>
      <c r="M49" s="383"/>
      <c r="N49" s="294"/>
      <c r="O49" s="383"/>
      <c r="P49" s="243">
        <f>B46</f>
        <v>13</v>
      </c>
      <c r="Q49" s="131">
        <f>$A46</f>
        <v>7</v>
      </c>
      <c r="R49" s="131">
        <v>4</v>
      </c>
      <c r="S49" s="131">
        <f>$A46</f>
        <v>7</v>
      </c>
      <c r="T49" s="152" t="e">
        <f t="shared" ref="T49:Z49" si="13">F49</f>
        <v>#N/A</v>
      </c>
      <c r="U49" s="152" t="e">
        <f t="shared" si="13"/>
        <v>#N/A</v>
      </c>
      <c r="V49" s="152" t="e">
        <f t="shared" si="13"/>
        <v>#N/A</v>
      </c>
      <c r="W49" s="152" t="e">
        <f t="shared" si="13"/>
        <v>#N/A</v>
      </c>
      <c r="X49" s="152" t="e">
        <f t="shared" si="13"/>
        <v>#N/A</v>
      </c>
      <c r="Y49" s="152" t="e">
        <f t="shared" si="13"/>
        <v>#N/A</v>
      </c>
      <c r="Z49" s="152" t="e">
        <f t="shared" si="13"/>
        <v>#N/A</v>
      </c>
      <c r="AB49" s="86"/>
      <c r="AC49" s="131"/>
      <c r="AD49" s="131"/>
    </row>
    <row r="50" spans="1:49" s="123" customFormat="1" ht="13.2" customHeight="1" x14ac:dyDescent="0.35">
      <c r="A50" s="324"/>
      <c r="B50" s="385"/>
      <c r="C50" s="325"/>
      <c r="D50" s="386"/>
      <c r="E50" s="381" t="s">
        <v>60</v>
      </c>
      <c r="F50" s="387" t="e">
        <f>RANK(F49,$T$19:$T$60,0)</f>
        <v>#N/A</v>
      </c>
      <c r="G50" s="387" t="e">
        <f>RANK(G49,$U$19:$U$60,0)</f>
        <v>#N/A</v>
      </c>
      <c r="H50" s="387" t="e">
        <f>RANK(H49,$V$19:$V$60,0)</f>
        <v>#N/A</v>
      </c>
      <c r="I50" s="387" t="e">
        <f>RANK(I49,$W$19:$W$60,0)</f>
        <v>#N/A</v>
      </c>
      <c r="J50" s="387" t="e">
        <f>RANK(J49,$X$19:$X$60,0)</f>
        <v>#N/A</v>
      </c>
      <c r="K50" s="387" t="e">
        <f>RANK(K49,$Y$19:$Y$60,0)</f>
        <v>#N/A</v>
      </c>
      <c r="L50" s="387" t="e">
        <f>RANK(L49,$Z$19:$Z$60,0)</f>
        <v>#N/A</v>
      </c>
      <c r="M50" s="384"/>
      <c r="N50" s="388"/>
      <c r="O50" s="384"/>
      <c r="P50" s="243">
        <f>B46</f>
        <v>13</v>
      </c>
      <c r="Q50" s="131">
        <f>$A46</f>
        <v>7</v>
      </c>
      <c r="R50" s="131">
        <v>5</v>
      </c>
      <c r="S50" s="131">
        <f>$A46</f>
        <v>7</v>
      </c>
      <c r="T50" s="236"/>
      <c r="U50" s="236"/>
      <c r="V50" s="236"/>
      <c r="W50" s="236"/>
      <c r="X50" s="236"/>
      <c r="Y50" s="236"/>
      <c r="Z50" s="236"/>
      <c r="AB50" s="86"/>
      <c r="AC50" s="131"/>
      <c r="AD50" s="131"/>
    </row>
    <row r="51" spans="1:49" s="123" customFormat="1" ht="13.2" customHeight="1" x14ac:dyDescent="0.35">
      <c r="A51" s="376"/>
      <c r="B51" s="331">
        <v>38</v>
      </c>
      <c r="C51" s="378" t="e">
        <f>VLOOKUP(B51,Уч!$A$2:$L$16,2,FALSE)</f>
        <v>#N/A</v>
      </c>
      <c r="D51" s="333" t="e">
        <f>VLOOKUP(B51,Уч!$A$2:$L$16,3,FALSE)</f>
        <v>#N/A</v>
      </c>
      <c r="E51" s="285" t="s">
        <v>18</v>
      </c>
      <c r="F51" s="369" t="e">
        <f>VLOOKUP($B51,'110 сб '!$C$17:$I$87,5,FALSE)</f>
        <v>#N/A</v>
      </c>
      <c r="G51" s="369" t="e">
        <f>VLOOKUP($B51,высота!$C$17:$AF$42,29,FALSE)</f>
        <v>#N/A</v>
      </c>
      <c r="H51" s="369" t="e">
        <f>VLOOKUP($B51,ядро!$C$17:$K$43,8,FALSE)</f>
        <v>#N/A</v>
      </c>
      <c r="I51" s="369">
        <f>VLOOKUP($B51,'2_р'!$C$17:$I$68,5,FALSE)</f>
        <v>26.46</v>
      </c>
      <c r="J51" s="369">
        <f>VLOOKUP($B51,Дл_р!$C$17:$O$43,11,FALSE)</f>
        <v>5.54</v>
      </c>
      <c r="K51" s="369">
        <f>VLOOKUP($B51,К_р!$C$18:$K$31,8,FALSE)</f>
        <v>41.32</v>
      </c>
      <c r="L51" s="370" t="s">
        <v>154</v>
      </c>
      <c r="M51" s="383"/>
      <c r="N51" s="331"/>
      <c r="O51" s="376"/>
      <c r="P51" s="86">
        <f>B51</f>
        <v>38</v>
      </c>
      <c r="Q51" s="131">
        <f>$A51</f>
        <v>0</v>
      </c>
      <c r="R51" s="131">
        <v>1</v>
      </c>
      <c r="S51" s="131">
        <f>$A51</f>
        <v>0</v>
      </c>
      <c r="T51" s="236"/>
      <c r="U51" s="236"/>
      <c r="V51" s="236"/>
      <c r="W51" s="236"/>
      <c r="X51" s="236"/>
      <c r="Y51" s="236"/>
      <c r="Z51" s="236"/>
      <c r="AA51" s="131"/>
      <c r="AB51" s="131"/>
      <c r="AC51" s="131" t="e">
        <f>IF(AND(Q51&gt;16,M51&gt;=4600),"1",LOOKUP(Q51,Q$5:AH$5,Q$6:AH$6))</f>
        <v>#N/A</v>
      </c>
      <c r="AD51" s="131" t="e">
        <f>LOOKUP(N51,R$8:W$8,R$9:W$9)</f>
        <v>#N/A</v>
      </c>
      <c r="AE51" s="131"/>
      <c r="AF51" s="131"/>
      <c r="AG51" s="131"/>
      <c r="AH51" s="131"/>
      <c r="AI51" s="131"/>
      <c r="AJ51" s="131"/>
      <c r="AK51" s="131"/>
      <c r="AL51" s="131"/>
      <c r="AM51" s="131"/>
      <c r="AN51" s="131"/>
      <c r="AO51" s="131"/>
      <c r="AP51" s="131"/>
      <c r="AQ51" s="131"/>
      <c r="AR51" s="131"/>
      <c r="AS51" s="131"/>
      <c r="AT51" s="131"/>
      <c r="AU51" s="131"/>
      <c r="AV51" s="131"/>
      <c r="AW51" s="131"/>
    </row>
    <row r="52" spans="1:49" s="123" customFormat="1" ht="13.2" customHeight="1" x14ac:dyDescent="0.35">
      <c r="A52" s="376"/>
      <c r="B52" s="331"/>
      <c r="C52" s="378" t="e">
        <f>VLOOKUP(B51,Уч!$A$2:$L$16,5,FALSE)</f>
        <v>#N/A</v>
      </c>
      <c r="D52" s="333" t="e">
        <f>VLOOKUP(B51,Уч!$A$2:$L$16,4,FALSE)</f>
        <v>#N/A</v>
      </c>
      <c r="E52" s="285" t="s">
        <v>25</v>
      </c>
      <c r="F52" s="371" t="e">
        <f>VLOOKUP($B51,'110 сб '!$C$17:$I$87,6,FALSE)</f>
        <v>#N/A</v>
      </c>
      <c r="G52" s="369"/>
      <c r="H52" s="369"/>
      <c r="I52" s="371">
        <f>VLOOKUP($B51,'2_р'!$C$17:$I$68,6,FALSE)</f>
        <v>1.2</v>
      </c>
      <c r="J52" s="371">
        <f>VLOOKUP($B51,Дл_р!$C$17:$O$43,12,FALSE)</f>
        <v>0.4</v>
      </c>
      <c r="K52" s="369"/>
      <c r="L52" s="370"/>
      <c r="M52" s="383"/>
      <c r="N52" s="331"/>
      <c r="O52" s="376"/>
      <c r="P52" s="86">
        <f>B51</f>
        <v>38</v>
      </c>
      <c r="Q52" s="131">
        <f>$A51</f>
        <v>0</v>
      </c>
      <c r="R52" s="131">
        <v>2</v>
      </c>
      <c r="S52" s="131">
        <f>$A51</f>
        <v>0</v>
      </c>
      <c r="T52" s="236"/>
      <c r="U52" s="236"/>
      <c r="V52" s="236"/>
      <c r="W52" s="236"/>
      <c r="X52" s="236"/>
      <c r="Y52" s="236"/>
      <c r="Z52" s="236"/>
      <c r="AA52" s="88"/>
      <c r="AB52" s="244"/>
      <c r="AC52" s="131"/>
      <c r="AD52" s="131"/>
      <c r="AE52" s="131"/>
      <c r="AF52" s="131"/>
      <c r="AG52" s="131"/>
      <c r="AH52" s="131"/>
      <c r="AI52" s="131"/>
      <c r="AJ52" s="131"/>
      <c r="AK52" s="131"/>
      <c r="AL52" s="131"/>
      <c r="AM52" s="131"/>
      <c r="AN52" s="131"/>
      <c r="AO52" s="131"/>
      <c r="AP52" s="131"/>
      <c r="AQ52" s="131"/>
      <c r="AR52" s="131"/>
      <c r="AS52" s="131"/>
      <c r="AT52" s="131"/>
      <c r="AU52" s="131"/>
      <c r="AV52" s="131"/>
      <c r="AW52" s="131"/>
    </row>
    <row r="53" spans="1:49" s="123" customFormat="1" ht="13.2" customHeight="1" x14ac:dyDescent="0.35">
      <c r="A53" s="376"/>
      <c r="B53" s="331"/>
      <c r="C53" s="402" t="e">
        <f>VLOOKUP(B51,Уч!$A$2:$L$16,7,FALSE)</f>
        <v>#N/A</v>
      </c>
      <c r="D53" s="372"/>
      <c r="E53" s="285" t="s">
        <v>29</v>
      </c>
      <c r="F53" s="370" t="e">
        <f>VLOOKUP($B51,'110 сб '!$C$17:$I$87,7,FALSE)</f>
        <v>#N/A</v>
      </c>
      <c r="G53" s="370" t="e">
        <f>VLOOKUP($B51,высота!$C$17:$AF$42,30,FALSE)</f>
        <v>#N/A</v>
      </c>
      <c r="H53" s="370" t="e">
        <f>VLOOKUP($B51,ядро!$C$17:$K$43,9,FALSE)</f>
        <v>#N/A</v>
      </c>
      <c r="I53" s="370">
        <f>VLOOKUP($B51,'2_р'!$C$17:$I$68,7,FALSE)</f>
        <v>757</v>
      </c>
      <c r="J53" s="370">
        <f>VLOOKUP($B51,Дл_р!$C$17:$O$43,13,FALSE)</f>
        <v>712</v>
      </c>
      <c r="K53" s="370">
        <f>VLOOKUP($B51,К_р!$C$18:$K$31,9,FALSE)</f>
        <v>693</v>
      </c>
      <c r="L53" s="370"/>
      <c r="M53" s="383"/>
      <c r="N53" s="294"/>
      <c r="O53" s="383"/>
      <c r="P53" s="243">
        <f>B51</f>
        <v>38</v>
      </c>
      <c r="Q53" s="131">
        <f>$A51</f>
        <v>0</v>
      </c>
      <c r="R53" s="131">
        <v>3</v>
      </c>
      <c r="S53" s="131">
        <f>$A51</f>
        <v>0</v>
      </c>
      <c r="T53" s="236"/>
      <c r="U53" s="236"/>
      <c r="V53" s="236"/>
      <c r="W53" s="236"/>
      <c r="X53" s="236"/>
      <c r="Y53" s="236"/>
      <c r="Z53" s="236"/>
      <c r="AC53" s="131"/>
      <c r="AD53" s="131"/>
    </row>
    <row r="54" spans="1:49" s="123" customFormat="1" ht="13.2" customHeight="1" x14ac:dyDescent="0.35">
      <c r="A54" s="376"/>
      <c r="B54" s="331"/>
      <c r="C54" s="402"/>
      <c r="D54" s="373"/>
      <c r="E54" s="285" t="s">
        <v>125</v>
      </c>
      <c r="F54" s="370" t="e">
        <f>F53</f>
        <v>#N/A</v>
      </c>
      <c r="G54" s="370" t="e">
        <f>F54+G53</f>
        <v>#N/A</v>
      </c>
      <c r="H54" s="370" t="e">
        <f>G54+H53</f>
        <v>#N/A</v>
      </c>
      <c r="I54" s="370" t="e">
        <f>H54+I53</f>
        <v>#N/A</v>
      </c>
      <c r="J54" s="370" t="e">
        <f>I54+J53</f>
        <v>#N/A</v>
      </c>
      <c r="K54" s="370" t="e">
        <f>J54+K53</f>
        <v>#N/A</v>
      </c>
      <c r="L54" s="370"/>
      <c r="M54" s="383"/>
      <c r="N54" s="294"/>
      <c r="O54" s="383"/>
      <c r="P54" s="243">
        <f>B51</f>
        <v>38</v>
      </c>
      <c r="Q54" s="131">
        <f>$A51</f>
        <v>0</v>
      </c>
      <c r="R54" s="131">
        <v>4</v>
      </c>
      <c r="S54" s="131">
        <f>$A51</f>
        <v>0</v>
      </c>
      <c r="T54" s="152" t="e">
        <f t="shared" ref="T54:Z54" si="14">F54</f>
        <v>#N/A</v>
      </c>
      <c r="U54" s="152" t="e">
        <f t="shared" si="14"/>
        <v>#N/A</v>
      </c>
      <c r="V54" s="152" t="e">
        <f t="shared" si="14"/>
        <v>#N/A</v>
      </c>
      <c r="W54" s="152" t="e">
        <f t="shared" si="14"/>
        <v>#N/A</v>
      </c>
      <c r="X54" s="152" t="e">
        <f t="shared" si="14"/>
        <v>#N/A</v>
      </c>
      <c r="Y54" s="152" t="e">
        <f t="shared" si="14"/>
        <v>#N/A</v>
      </c>
      <c r="Z54" s="152">
        <f t="shared" si="14"/>
        <v>0</v>
      </c>
      <c r="AC54" s="131"/>
      <c r="AD54" s="131"/>
    </row>
    <row r="55" spans="1:49" s="123" customFormat="1" ht="13.2" customHeight="1" x14ac:dyDescent="0.35">
      <c r="A55" s="324"/>
      <c r="B55" s="385"/>
      <c r="C55" s="325" t="e">
        <f>VLOOKUP(B51,Уч!$A$2:$L$16,11,FALSE)</f>
        <v>#N/A</v>
      </c>
      <c r="D55" s="386"/>
      <c r="E55" s="381" t="s">
        <v>60</v>
      </c>
      <c r="F55" s="387" t="e">
        <f>RANK(F54,$T$19:$T$60,0)</f>
        <v>#N/A</v>
      </c>
      <c r="G55" s="387" t="e">
        <f>RANK(G54,$U$19:$U$60,0)</f>
        <v>#N/A</v>
      </c>
      <c r="H55" s="387" t="e">
        <f>RANK(H54,$V$19:$V$60,0)</f>
        <v>#N/A</v>
      </c>
      <c r="I55" s="387" t="e">
        <f>RANK(I54,$W$19:$W$60,0)</f>
        <v>#N/A</v>
      </c>
      <c r="J55" s="387" t="e">
        <f>RANK(J54,$X$19:$X$60,0)</f>
        <v>#N/A</v>
      </c>
      <c r="K55" s="387" t="e">
        <f>RANK(K54,$Y$19:$Y$60,0)</f>
        <v>#N/A</v>
      </c>
      <c r="L55" s="387"/>
      <c r="M55" s="384"/>
      <c r="N55" s="388"/>
      <c r="O55" s="384"/>
      <c r="P55" s="243">
        <f>B51</f>
        <v>38</v>
      </c>
      <c r="Q55" s="131">
        <f>$A51</f>
        <v>0</v>
      </c>
      <c r="R55" s="131">
        <v>5</v>
      </c>
      <c r="S55" s="131">
        <f>$A51</f>
        <v>0</v>
      </c>
      <c r="T55" s="236"/>
      <c r="U55" s="236"/>
      <c r="V55" s="236"/>
      <c r="W55" s="236"/>
      <c r="X55" s="236"/>
      <c r="Y55" s="236"/>
      <c r="Z55" s="236"/>
      <c r="AC55" s="131"/>
      <c r="AD55" s="131"/>
    </row>
    <row r="56" spans="1:49" s="123" customFormat="1" ht="13.2" customHeight="1" x14ac:dyDescent="0.35">
      <c r="A56" s="376"/>
      <c r="B56" s="331">
        <v>55</v>
      </c>
      <c r="C56" s="378" t="str">
        <f>VLOOKUP(B56,Уч!$A$2:$L$16,2,FALSE)</f>
        <v>Селезнева Анастасия</v>
      </c>
      <c r="D56" s="333" t="str">
        <f>VLOOKUP(B56,Уч!$A$2:$L$16,3,FALSE)</f>
        <v>15.04.1997</v>
      </c>
      <c r="E56" s="285" t="s">
        <v>18</v>
      </c>
      <c r="F56" s="369" t="s">
        <v>153</v>
      </c>
      <c r="G56" s="369"/>
      <c r="H56" s="369"/>
      <c r="I56" s="369"/>
      <c r="J56" s="369"/>
      <c r="K56" s="369"/>
      <c r="L56" s="370"/>
      <c r="M56" s="383"/>
      <c r="N56" s="331"/>
      <c r="O56" s="376"/>
      <c r="P56" s="86">
        <f>B56</f>
        <v>55</v>
      </c>
      <c r="Q56" s="131">
        <f>$A56</f>
        <v>0</v>
      </c>
      <c r="R56" s="131">
        <v>1</v>
      </c>
      <c r="S56" s="131">
        <f>$A56</f>
        <v>0</v>
      </c>
      <c r="T56" s="254"/>
      <c r="U56" s="254"/>
      <c r="V56" s="254"/>
      <c r="W56" s="254"/>
      <c r="X56" s="254"/>
      <c r="Y56" s="254"/>
      <c r="Z56" s="254"/>
      <c r="AA56" s="131"/>
      <c r="AC56" s="131" t="e">
        <f>IF(AND(Q56&gt;16,M56&gt;=4600),"1",LOOKUP(Q56,Q$5:AH$5,Q$6:AH$6))</f>
        <v>#N/A</v>
      </c>
      <c r="AD56" s="131" t="e">
        <f>LOOKUP(N56,R$8:W$8,R$9:W$9)</f>
        <v>#N/A</v>
      </c>
    </row>
    <row r="57" spans="1:49" s="123" customFormat="1" ht="13.2" customHeight="1" x14ac:dyDescent="0.35">
      <c r="A57" s="376"/>
      <c r="B57" s="331"/>
      <c r="C57" s="378" t="str">
        <f>VLOOKUP(B56,Уч!$A$2:$L$16,5,FALSE)</f>
        <v xml:space="preserve">Кемеровская область  </v>
      </c>
      <c r="D57" s="333" t="str">
        <f>VLOOKUP(B56,Уч!$A$2:$L$16,4,FALSE)</f>
        <v>МС</v>
      </c>
      <c r="E57" s="285" t="s">
        <v>25</v>
      </c>
      <c r="F57" s="371"/>
      <c r="G57" s="369"/>
      <c r="H57" s="369"/>
      <c r="I57" s="371"/>
      <c r="J57" s="371"/>
      <c r="K57" s="369"/>
      <c r="L57" s="370"/>
      <c r="M57" s="383"/>
      <c r="N57" s="331"/>
      <c r="O57" s="376"/>
      <c r="P57" s="86">
        <f>B56</f>
        <v>55</v>
      </c>
      <c r="Q57" s="131">
        <f>$A56</f>
        <v>0</v>
      </c>
      <c r="R57" s="131">
        <v>2</v>
      </c>
      <c r="S57" s="131">
        <f>$A56</f>
        <v>0</v>
      </c>
      <c r="T57" s="254"/>
      <c r="U57" s="254"/>
      <c r="V57" s="254"/>
      <c r="W57" s="254"/>
      <c r="X57" s="254"/>
      <c r="Y57" s="254"/>
      <c r="Z57" s="254"/>
      <c r="AA57" s="131"/>
      <c r="AC57" s="131"/>
      <c r="AD57" s="131"/>
    </row>
    <row r="58" spans="1:49" s="123" customFormat="1" ht="13.2" customHeight="1" x14ac:dyDescent="0.35">
      <c r="A58" s="376"/>
      <c r="B58" s="331"/>
      <c r="C58" s="379" t="str">
        <f>VLOOKUP(B56,Уч!$A$2:$L$16,7,FALSE)</f>
        <v>ГБФСУ КО "СШОР по легкой атлетике им. В.А.Савенкова"</v>
      </c>
      <c r="D58" s="372"/>
      <c r="E58" s="285" t="s">
        <v>29</v>
      </c>
      <c r="F58" s="370"/>
      <c r="G58" s="370"/>
      <c r="H58" s="370"/>
      <c r="I58" s="370"/>
      <c r="J58" s="370"/>
      <c r="K58" s="370"/>
      <c r="L58" s="370"/>
      <c r="M58" s="383"/>
      <c r="N58" s="294"/>
      <c r="O58" s="383"/>
      <c r="P58" s="243">
        <f>B56</f>
        <v>55</v>
      </c>
      <c r="Q58" s="131">
        <f>$A56</f>
        <v>0</v>
      </c>
      <c r="R58" s="131">
        <v>3</v>
      </c>
      <c r="S58" s="131">
        <f>$A56</f>
        <v>0</v>
      </c>
      <c r="T58" s="254"/>
      <c r="U58" s="254"/>
      <c r="V58" s="254"/>
      <c r="W58" s="254"/>
      <c r="X58" s="254"/>
      <c r="Y58" s="254"/>
      <c r="Z58" s="254"/>
      <c r="AA58" s="131"/>
      <c r="AC58" s="131"/>
      <c r="AD58" s="131"/>
    </row>
    <row r="59" spans="1:49" s="123" customFormat="1" ht="13.2" customHeight="1" x14ac:dyDescent="0.35">
      <c r="A59" s="376"/>
      <c r="B59" s="331"/>
      <c r="C59" s="402" t="str">
        <f>VLOOKUP(B56,Уч!$A$2:$L$16,11,FALSE)</f>
        <v>Муга О.Б., Грибанова С.Р., Канашевич А.М.</v>
      </c>
      <c r="D59" s="373"/>
      <c r="E59" s="285" t="s">
        <v>125</v>
      </c>
      <c r="F59" s="370"/>
      <c r="G59" s="370"/>
      <c r="H59" s="370"/>
      <c r="I59" s="370"/>
      <c r="J59" s="370"/>
      <c r="K59" s="370"/>
      <c r="L59" s="370"/>
      <c r="M59" s="383"/>
      <c r="N59" s="294"/>
      <c r="O59" s="383"/>
      <c r="P59" s="243">
        <f>B56</f>
        <v>55</v>
      </c>
      <c r="Q59" s="131">
        <f>$A56</f>
        <v>0</v>
      </c>
      <c r="R59" s="131">
        <v>4</v>
      </c>
      <c r="S59" s="131">
        <f>$A56</f>
        <v>0</v>
      </c>
      <c r="T59" s="152">
        <f t="shared" ref="T59:Z59" si="15">F59</f>
        <v>0</v>
      </c>
      <c r="U59" s="152">
        <f t="shared" si="15"/>
        <v>0</v>
      </c>
      <c r="V59" s="152">
        <f t="shared" si="15"/>
        <v>0</v>
      </c>
      <c r="W59" s="152">
        <f t="shared" si="15"/>
        <v>0</v>
      </c>
      <c r="X59" s="152">
        <f t="shared" si="15"/>
        <v>0</v>
      </c>
      <c r="Y59" s="152">
        <f t="shared" si="15"/>
        <v>0</v>
      </c>
      <c r="Z59" s="152">
        <f t="shared" si="15"/>
        <v>0</v>
      </c>
      <c r="AA59" s="131"/>
      <c r="AC59" s="131"/>
      <c r="AD59" s="131"/>
    </row>
    <row r="60" spans="1:49" s="123" customFormat="1" ht="13.2" customHeight="1" x14ac:dyDescent="0.35">
      <c r="A60" s="324"/>
      <c r="B60" s="385"/>
      <c r="C60" s="403"/>
      <c r="D60" s="386"/>
      <c r="E60" s="381" t="s">
        <v>60</v>
      </c>
      <c r="F60" s="387"/>
      <c r="G60" s="387"/>
      <c r="H60" s="387"/>
      <c r="I60" s="387"/>
      <c r="J60" s="387"/>
      <c r="K60" s="387"/>
      <c r="L60" s="387"/>
      <c r="M60" s="384"/>
      <c r="N60" s="388"/>
      <c r="O60" s="384"/>
      <c r="P60" s="243">
        <f>B56</f>
        <v>55</v>
      </c>
      <c r="Q60" s="131">
        <f>$A56</f>
        <v>0</v>
      </c>
      <c r="R60" s="131">
        <v>5</v>
      </c>
      <c r="S60" s="131">
        <f>$A56</f>
        <v>0</v>
      </c>
      <c r="T60" s="254"/>
      <c r="U60" s="254"/>
      <c r="V60" s="254"/>
      <c r="W60" s="254"/>
      <c r="X60" s="254"/>
      <c r="Y60" s="254"/>
      <c r="Z60" s="254"/>
      <c r="AA60" s="131"/>
      <c r="AC60" s="131"/>
      <c r="AD60" s="131"/>
    </row>
    <row r="61" spans="1:49" x14ac:dyDescent="0.25">
      <c r="AC61" s="395"/>
    </row>
    <row r="62" spans="1:49" x14ac:dyDescent="0.25">
      <c r="AC62" s="395"/>
    </row>
    <row r="63" spans="1:49" x14ac:dyDescent="0.25">
      <c r="B63" s="60" t="s">
        <v>157</v>
      </c>
      <c r="C63" s="338"/>
      <c r="D63" s="338"/>
      <c r="E63" s="315"/>
      <c r="F63" s="338"/>
      <c r="G63" s="315"/>
      <c r="H63" s="315"/>
      <c r="I63" s="389"/>
      <c r="J63" s="389" t="s">
        <v>158</v>
      </c>
      <c r="K63" s="389"/>
      <c r="L63" s="389"/>
      <c r="M63" s="389"/>
      <c r="N63" s="390"/>
      <c r="AC63" s="395"/>
    </row>
    <row r="64" spans="1:49" x14ac:dyDescent="0.25">
      <c r="B64" s="60"/>
      <c r="D64" s="395"/>
      <c r="E64" s="393"/>
      <c r="H64" s="393"/>
      <c r="I64" s="38"/>
      <c r="J64" s="38"/>
      <c r="N64" s="390"/>
      <c r="AC64" s="395"/>
    </row>
    <row r="65" spans="2:29" x14ac:dyDescent="0.25">
      <c r="B65" s="60" t="s">
        <v>159</v>
      </c>
      <c r="D65" s="395"/>
      <c r="E65" s="393"/>
      <c r="H65" s="393"/>
      <c r="I65" s="389"/>
      <c r="J65" s="389" t="s">
        <v>160</v>
      </c>
      <c r="K65" s="389"/>
      <c r="N65" s="390"/>
      <c r="AC65" s="395"/>
    </row>
    <row r="66" spans="2:29" x14ac:dyDescent="0.25">
      <c r="AC66" s="395"/>
    </row>
    <row r="67" spans="2:29" x14ac:dyDescent="0.25">
      <c r="AC67" s="395"/>
    </row>
  </sheetData>
  <sortState ref="A16:AW80">
    <sortCondition ref="Q16:Q80"/>
  </sortState>
  <mergeCells count="7">
    <mergeCell ref="A8:B8"/>
    <mergeCell ref="A1:O1"/>
    <mergeCell ref="A2:O2"/>
    <mergeCell ref="A3:O3"/>
    <mergeCell ref="A4:O4"/>
    <mergeCell ref="A5:O5"/>
    <mergeCell ref="A6:O6"/>
  </mergeCells>
  <pageMargins left="0.7" right="0.7" top="0.75" bottom="0.75" header="0.3" footer="0.3"/>
  <pageSetup paperSize="9" scale="87" orientation="landscape" verticalDpi="4294967295" r:id="rId1"/>
  <rowBreaks count="1" manualBreakCount="1">
    <brk id="40" max="14" man="1"/>
  </rowBreaks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16</vt:i4>
      </vt:variant>
    </vt:vector>
  </HeadingPairs>
  <TitlesOfParts>
    <vt:vector size="32" baseType="lpstr">
      <vt:lpstr>READ</vt:lpstr>
      <vt:lpstr>Расп</vt:lpstr>
      <vt:lpstr>Уч</vt:lpstr>
      <vt:lpstr>Ж+ж23</vt:lpstr>
      <vt:lpstr>Ж</vt:lpstr>
      <vt:lpstr>Ж23</vt:lpstr>
      <vt:lpstr>110 сб </vt:lpstr>
      <vt:lpstr>высота</vt:lpstr>
      <vt:lpstr>ядро</vt:lpstr>
      <vt:lpstr>2_р</vt:lpstr>
      <vt:lpstr>Дл_р</vt:lpstr>
      <vt:lpstr>К_р</vt:lpstr>
      <vt:lpstr>8_р</vt:lpstr>
      <vt:lpstr>ком</vt:lpstr>
      <vt:lpstr>жюн</vt:lpstr>
      <vt:lpstr>юн</vt:lpstr>
      <vt:lpstr>Ж!Заголовки_для_печати</vt:lpstr>
      <vt:lpstr>'Ж+ж23'!Заголовки_для_печати</vt:lpstr>
      <vt:lpstr>Ж23!Заголовки_для_печати</vt:lpstr>
      <vt:lpstr>'110 сб '!Область_печати</vt:lpstr>
      <vt:lpstr>'2_р'!Область_печати</vt:lpstr>
      <vt:lpstr>'8_р'!Область_печати</vt:lpstr>
      <vt:lpstr>высота!Область_печати</vt:lpstr>
      <vt:lpstr>Дл_р!Область_печати</vt:lpstr>
      <vt:lpstr>Ж!Область_печати</vt:lpstr>
      <vt:lpstr>'Ж+ж23'!Область_печати</vt:lpstr>
      <vt:lpstr>Ж23!Область_печати</vt:lpstr>
      <vt:lpstr>жюн!Область_печати</vt:lpstr>
      <vt:lpstr>К_р!Область_печати</vt:lpstr>
      <vt:lpstr>ком!Область_печати</vt:lpstr>
      <vt:lpstr>юн!Область_печати</vt:lpstr>
      <vt:lpstr>ядро!Область_печати</vt:lpstr>
    </vt:vector>
  </TitlesOfParts>
  <Company>АМТЕ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Пользователь Windows</cp:lastModifiedBy>
  <cp:lastPrinted>2019-09-03T16:17:37Z</cp:lastPrinted>
  <dcterms:created xsi:type="dcterms:W3CDTF">2007-07-15T09:19:24Z</dcterms:created>
  <dcterms:modified xsi:type="dcterms:W3CDTF">2019-09-03T19:10:50Z</dcterms:modified>
</cp:coreProperties>
</file>